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65" windowWidth="14805" windowHeight="7350" tabRatio="654" firstSheet="1" activeTab="6"/>
  </bookViews>
  <sheets>
    <sheet name="Осн образ переход АФ" sheetId="4" r:id="rId1"/>
    <sheet name="Осн образ переход БФ" sheetId="12" r:id="rId2"/>
    <sheet name="Осн образ переход ЛКФ" sheetId="13" r:id="rId3"/>
    <sheet name="Осн образ переход ПФ" sheetId="14" r:id="rId4"/>
    <sheet name="Осн образ переход НФ" sheetId="15" r:id="rId5"/>
    <sheet name="Осн образ переход Кемерово " sheetId="16" r:id="rId6"/>
    <sheet name="Осн образ переход область" sheetId="17" r:id="rId7"/>
  </sheets>
  <definedNames>
    <definedName name="_xlnm.Print_Area" localSheetId="0">'Осн образ переход АФ'!$A$1:$J$24</definedName>
    <definedName name="_xlnm.Print_Area" localSheetId="1">'Осн образ переход БФ'!$A$1:$J$26</definedName>
    <definedName name="_xlnm.Print_Area" localSheetId="5">'Осн образ переход Кемерово '!$A$1:$J$39</definedName>
    <definedName name="_xlnm.Print_Area" localSheetId="3">'Осн образ переход ПФ'!$A$1:$J$24</definedName>
  </definedNames>
  <calcPr calcId="144525"/>
</workbook>
</file>

<file path=xl/calcChain.xml><?xml version="1.0" encoding="utf-8"?>
<calcChain xmlns="http://schemas.openxmlformats.org/spreadsheetml/2006/main">
  <c r="J18" i="17" l="1"/>
  <c r="J17" i="17"/>
  <c r="J16" i="17"/>
  <c r="J40" i="16"/>
  <c r="J39" i="16"/>
  <c r="J37" i="16"/>
  <c r="J35" i="16"/>
  <c r="J34" i="16"/>
  <c r="J33" i="16"/>
  <c r="J32" i="16"/>
  <c r="J30" i="16"/>
  <c r="J29" i="16"/>
  <c r="J19" i="16"/>
  <c r="J18" i="16"/>
  <c r="J26" i="15" l="1"/>
  <c r="J25" i="15"/>
  <c r="J22" i="15"/>
  <c r="J20" i="15"/>
  <c r="J19" i="15"/>
  <c r="J25" i="14"/>
  <c r="J18" i="14" l="1"/>
  <c r="J18" i="13"/>
  <c r="J26" i="12"/>
  <c r="J17" i="4"/>
  <c r="J26" i="4"/>
  <c r="J25" i="4"/>
  <c r="J24" i="4"/>
  <c r="J23" i="4"/>
  <c r="J22" i="4"/>
  <c r="J21" i="4"/>
  <c r="J20" i="4"/>
  <c r="J19" i="4"/>
  <c r="J18" i="4"/>
  <c r="J16" i="4"/>
  <c r="E18" i="17" l="1"/>
  <c r="D18" i="17"/>
  <c r="G17" i="17"/>
  <c r="F17" i="17"/>
  <c r="E17" i="17"/>
  <c r="D17" i="17"/>
  <c r="G16" i="17"/>
  <c r="F16" i="17"/>
  <c r="I15" i="17"/>
  <c r="H15" i="17"/>
  <c r="G40" i="16"/>
  <c r="F40" i="16"/>
  <c r="E40" i="16"/>
  <c r="D40" i="16"/>
  <c r="G39" i="16"/>
  <c r="F39" i="16"/>
  <c r="E38" i="16"/>
  <c r="D38" i="16"/>
  <c r="G37" i="16"/>
  <c r="F37" i="16"/>
  <c r="E37" i="16"/>
  <c r="D37" i="16"/>
  <c r="G36" i="16"/>
  <c r="F36" i="16"/>
  <c r="E35" i="16"/>
  <c r="D35" i="16"/>
  <c r="E34" i="16"/>
  <c r="D34" i="16"/>
  <c r="H33" i="16"/>
  <c r="G33" i="16"/>
  <c r="F33" i="16"/>
  <c r="E33" i="16"/>
  <c r="D33" i="16"/>
  <c r="H32" i="16"/>
  <c r="G32" i="16"/>
  <c r="F32" i="16"/>
  <c r="E31" i="16" l="1"/>
  <c r="D31" i="16"/>
  <c r="G30" i="16"/>
  <c r="F30" i="16"/>
  <c r="E30" i="16"/>
  <c r="D30" i="16"/>
  <c r="G29" i="16"/>
  <c r="F29" i="16"/>
  <c r="I28" i="16"/>
  <c r="H28" i="16"/>
  <c r="G28" i="16"/>
  <c r="F28" i="16"/>
  <c r="E28" i="16"/>
  <c r="D28" i="16"/>
  <c r="C28" i="16"/>
  <c r="I27" i="16"/>
  <c r="H27" i="16"/>
  <c r="G27" i="16"/>
  <c r="F27" i="16"/>
  <c r="G26" i="16"/>
  <c r="F26" i="16"/>
  <c r="E26" i="16"/>
  <c r="D26" i="16"/>
  <c r="G25" i="16"/>
  <c r="F25" i="16"/>
  <c r="I24" i="16"/>
  <c r="H24" i="16"/>
  <c r="E23" i="16"/>
  <c r="D23" i="16"/>
  <c r="G22" i="16"/>
  <c r="F22" i="16"/>
  <c r="E22" i="16"/>
  <c r="D22" i="16"/>
  <c r="G21" i="16"/>
  <c r="F21" i="16"/>
  <c r="E20" i="16"/>
  <c r="D20" i="16"/>
  <c r="I19" i="16"/>
  <c r="H19" i="16"/>
  <c r="G19" i="16"/>
  <c r="F19" i="16"/>
  <c r="E19" i="16"/>
  <c r="D19" i="16"/>
  <c r="I18" i="16"/>
  <c r="H18" i="16"/>
  <c r="G18" i="16"/>
  <c r="F18" i="16"/>
  <c r="J17" i="16"/>
  <c r="G16" i="15"/>
  <c r="F16" i="15"/>
  <c r="E27" i="15"/>
  <c r="D27" i="15"/>
  <c r="G26" i="15"/>
  <c r="F26" i="15"/>
  <c r="E26" i="15"/>
  <c r="D26" i="15"/>
  <c r="G25" i="15"/>
  <c r="F25" i="15"/>
  <c r="G24" i="15"/>
  <c r="F24" i="15"/>
  <c r="E24" i="15"/>
  <c r="D24" i="15"/>
  <c r="G23" i="15"/>
  <c r="F23" i="15"/>
  <c r="I22" i="15"/>
  <c r="H22" i="15"/>
  <c r="E21" i="15"/>
  <c r="D21" i="15"/>
  <c r="G20" i="15"/>
  <c r="F20" i="15"/>
  <c r="E20" i="15"/>
  <c r="D20" i="15"/>
  <c r="G19" i="15"/>
  <c r="F19" i="15"/>
  <c r="E18" i="15"/>
  <c r="D18" i="15"/>
  <c r="G17" i="15"/>
  <c r="F17" i="15"/>
  <c r="E17" i="15"/>
  <c r="D17" i="15"/>
  <c r="I15" i="15"/>
  <c r="H15" i="15"/>
  <c r="H25" i="14"/>
  <c r="G25" i="14"/>
  <c r="F25" i="14"/>
  <c r="H26" i="14"/>
  <c r="G26" i="14"/>
  <c r="F26" i="14"/>
  <c r="E26" i="14"/>
  <c r="D26" i="14"/>
  <c r="H27" i="12"/>
  <c r="G27" i="12"/>
  <c r="F27" i="12"/>
  <c r="E27" i="12"/>
  <c r="D27" i="12"/>
  <c r="J24" i="14"/>
  <c r="J23" i="14"/>
  <c r="J21" i="14"/>
  <c r="J19" i="14"/>
  <c r="J17" i="14"/>
  <c r="J24" i="13"/>
  <c r="J21" i="13"/>
  <c r="J19" i="13"/>
  <c r="J19" i="12"/>
  <c r="I19" i="4"/>
  <c r="H19" i="4"/>
  <c r="G19" i="4"/>
  <c r="F19" i="4"/>
  <c r="E19" i="4"/>
  <c r="D19" i="4"/>
  <c r="I18" i="13"/>
  <c r="H18" i="13"/>
  <c r="G18" i="13"/>
  <c r="F18" i="13"/>
  <c r="J17" i="13"/>
  <c r="H26" i="12"/>
  <c r="G26" i="12"/>
  <c r="F26" i="12"/>
  <c r="J22" i="12"/>
  <c r="J25" i="12"/>
  <c r="J17" i="12"/>
  <c r="G26" i="4"/>
  <c r="F26" i="4"/>
  <c r="E26" i="4"/>
  <c r="D26" i="4"/>
  <c r="G25" i="4"/>
  <c r="F25" i="4"/>
  <c r="I24" i="4"/>
  <c r="H24" i="4"/>
  <c r="E23" i="4"/>
  <c r="D23" i="4"/>
  <c r="G22" i="4"/>
  <c r="F22" i="4"/>
  <c r="E22" i="4"/>
  <c r="D22" i="4"/>
  <c r="G21" i="4"/>
  <c r="F21" i="4"/>
  <c r="E20" i="4"/>
  <c r="D20" i="4"/>
  <c r="I18" i="4"/>
  <c r="H18" i="4"/>
  <c r="G18" i="4"/>
  <c r="F18" i="4"/>
  <c r="G17" i="4"/>
  <c r="F17" i="4"/>
  <c r="E17" i="4"/>
  <c r="D17" i="4"/>
  <c r="J26" i="14" l="1"/>
  <c r="J26" i="16"/>
  <c r="J28" i="16"/>
  <c r="J22" i="16"/>
  <c r="J17" i="15"/>
  <c r="J24" i="15"/>
  <c r="G16" i="4"/>
  <c r="F16" i="4"/>
  <c r="H15" i="4"/>
  <c r="I15" i="4"/>
  <c r="J21" i="15" l="1"/>
  <c r="J31" i="16" l="1"/>
  <c r="J36" i="16"/>
  <c r="J25" i="16"/>
  <c r="J27" i="16"/>
  <c r="J23" i="16"/>
  <c r="J21" i="16"/>
  <c r="J16" i="16" l="1"/>
  <c r="J23" i="15"/>
  <c r="J16" i="15"/>
  <c r="J20" i="14" l="1"/>
  <c r="J16" i="14" l="1"/>
  <c r="J23" i="13"/>
  <c r="J20" i="13"/>
  <c r="J16" i="13"/>
  <c r="J27" i="12" l="1"/>
  <c r="J24" i="12"/>
  <c r="J21" i="12"/>
  <c r="J18" i="12"/>
  <c r="J16" i="12"/>
  <c r="E25" i="4"/>
  <c r="D25" i="4"/>
  <c r="G24" i="4"/>
  <c r="F24" i="4"/>
  <c r="E21" i="4"/>
  <c r="D21" i="4"/>
  <c r="E18" i="4"/>
  <c r="D18" i="4"/>
  <c r="E16" i="4"/>
  <c r="D16" i="4"/>
  <c r="G15" i="4"/>
  <c r="F15" i="4"/>
  <c r="J15" i="4" l="1"/>
  <c r="J18" i="15" l="1"/>
  <c r="J27" i="15" l="1"/>
  <c r="B9" i="13"/>
  <c r="B9" i="17" l="1"/>
  <c r="B9" i="16"/>
  <c r="B9" i="15"/>
  <c r="B9" i="14"/>
  <c r="B9" i="12"/>
  <c r="H6" i="17"/>
  <c r="H6" i="16"/>
  <c r="H6" i="15"/>
  <c r="H6" i="14"/>
  <c r="H6" i="13"/>
  <c r="H6" i="12"/>
  <c r="J15" i="17" l="1"/>
  <c r="J22" i="14" l="1"/>
  <c r="J23" i="12"/>
  <c r="J20" i="12"/>
  <c r="J20" i="16" l="1"/>
  <c r="J15" i="15" l="1"/>
  <c r="J15" i="14"/>
  <c r="J22" i="13"/>
  <c r="J15" i="13"/>
  <c r="J15" i="12"/>
  <c r="J38" i="16" l="1"/>
  <c r="J15" i="16"/>
  <c r="J24" i="16"/>
</calcChain>
</file>

<file path=xl/sharedStrings.xml><?xml version="1.0" encoding="utf-8"?>
<sst xmlns="http://schemas.openxmlformats.org/spreadsheetml/2006/main" count="218" uniqueCount="63">
  <si>
    <t>Специальность</t>
  </si>
  <si>
    <t>УТВЕРЖДАЮ:</t>
  </si>
  <si>
    <t>III семестр</t>
  </si>
  <si>
    <t>IV семестр</t>
  </si>
  <si>
    <t>V семестр</t>
  </si>
  <si>
    <t>VI семестр</t>
  </si>
  <si>
    <t>VII семестр</t>
  </si>
  <si>
    <t>VIII семестр</t>
  </si>
  <si>
    <t>2 курс</t>
  </si>
  <si>
    <t>3 курс</t>
  </si>
  <si>
    <t>4 курс</t>
  </si>
  <si>
    <t>Анжеро-Судженск</t>
  </si>
  <si>
    <t>Белово</t>
  </si>
  <si>
    <t>Ленинск-Кузнецкий</t>
  </si>
  <si>
    <t>Прокопьевск</t>
  </si>
  <si>
    <t>Новокузнецк</t>
  </si>
  <si>
    <t>Кемерово</t>
  </si>
  <si>
    <t>1 курс</t>
  </si>
  <si>
    <t>( в связи с увеличением стоимости указанных услуг с учетом уровня инфляции, предусмотренного основными характеристиками федерального бюджета на очередной финансовый год и плановый период)</t>
  </si>
  <si>
    <t>Полная стоимость образовательных услуг за весь период обучения</t>
  </si>
  <si>
    <t xml:space="preserve">           ____________ И.Г. Иванова</t>
  </si>
  <si>
    <t>Область (Междуреченск, Юрга,Мариинск, Таштагол)</t>
  </si>
  <si>
    <t xml:space="preserve">   Директор ГБПОУ  "Кузбасский</t>
  </si>
  <si>
    <t xml:space="preserve"> медицинский колледж"</t>
  </si>
  <si>
    <t>Лечебное дело очной формы обучения на базе среднего общего образования (11кл.), срок обучения 4 курса (2022г)</t>
  </si>
  <si>
    <t>Сестринское дело очно-заочной формы обучения на базе среднего общего образования (11кл.), срок обучения 4 курса(2022г)</t>
  </si>
  <si>
    <t>Лечебное дело очной формы обучения на базе среднего общего образования (11кл.), срок обучения 4 курса (2022)</t>
  </si>
  <si>
    <t>Лечебное дело очной формы обучения на базе среднего общего образования (11кл.), срок обучения 3 курса (2023г)</t>
  </si>
  <si>
    <t>Лечебное дело очной формы обучения на базе основного общего образования (9кл.), срок обучения 4 курса (2023г)</t>
  </si>
  <si>
    <t>Сестринское дело очной формы обучения на базе основного общего образования (9кл.) срок обучения 3 курса (2023г)</t>
  </si>
  <si>
    <t>Сестринское дело очно-заочной формы обучения на базе среднего общего образования (11кл.), срок обучения 3 курса(2023г)</t>
  </si>
  <si>
    <t>Фармация очной-заочной формы обучения на базе среднего общего образования(11кл.) , срок обучения 3 курса(2023г)</t>
  </si>
  <si>
    <t>Лечебное дело очной формы обучения на базе среднего общего образования (11кл.), срок обучения 3 курса (2023)</t>
  </si>
  <si>
    <t>Сестринское дело очно-заочной формы обучения на базе основного общего образования (9кл.), срок обучения 4 курса(2023г)</t>
  </si>
  <si>
    <t>Лабораторная диагностика очной формы обучения на базе основного общего образования (9кл.), срок обучения 3 курса(2023г)</t>
  </si>
  <si>
    <t>Фармация очной формы обучения на базе основного общего образования(9кл.) , срок обучения 3 курса(2023г)</t>
  </si>
  <si>
    <t>Лечебное дело очной формы обучения на базе основного общего образования (9кл.), срок обучения 4 курса (2023)</t>
  </si>
  <si>
    <t>Акушерское дело очной формы обучения на базе основного общего образования (9кл.), срок обучения 4 курса (2023г)</t>
  </si>
  <si>
    <t>Акушерское дело очной формы обучения на базе основного общего образования (9 кл.), срок обучения 4 курса (2023г)</t>
  </si>
  <si>
    <t>Сведения об изменении стоимости платных образовательных услуг для продолжающих обучение         в ГБПОУ "Кузбасский медицинский колледж" в 2025-2026 году</t>
  </si>
  <si>
    <t>"___" _____________  2025  года</t>
  </si>
  <si>
    <t>Лечебное дело очной формы обучения на базе среднего общего образования (11кл.), срок обучения 3 курса (2024г)</t>
  </si>
  <si>
    <t>Лечебное дело очной формы обучения на базе медицинского образования (СПО,ВПО), срок обучения 2 курса (2024г)</t>
  </si>
  <si>
    <t>Сестринское дело очной формы обучения на базе основного общего образования (9кл.) срок обучения 3 курса (2024г)</t>
  </si>
  <si>
    <t>Сестринское дело очно формы обучения на базе среднего общего образования (11кл.), срок обучения 2 курса(2024г)</t>
  </si>
  <si>
    <t>Сестринское дело очно-заочной формы обучения на базе среднего общего образования (11кл.), срок обучения 3 курса(2024г)</t>
  </si>
  <si>
    <t>Акушерское дело очной формы обучения на базе основного общего образования (9кл.), срок обучения 4 курса (2024г)</t>
  </si>
  <si>
    <t>Лечебное дело очной формы обучения на базе основного общего образования (9кл.), срок обучения 4 курса (2024г)</t>
  </si>
  <si>
    <t>Сестринское дело очной формы обучения на базе основного общего образования (11кл.) срок обучения 2 курса (2024г)</t>
  </si>
  <si>
    <t>Фармация очной-заочной формы обучения на базе среднего общего образования(11кл.) , срок обучения 3 курса(2024г)</t>
  </si>
  <si>
    <t>Фармация очно-заочной формы обучения на базе медициснкого образования образования (СПО, ВПО), срок обучения 2 курса(2024г)</t>
  </si>
  <si>
    <t>Лечебное дело очной формы обучения на базе среднего общего образования (11кл.), срок обучения 3 курса (2024)</t>
  </si>
  <si>
    <t>Лечебное дело очной формы обучения на базе основного общего образования (9кл.), срок обучения 4 курса (2024)</t>
  </si>
  <si>
    <t>Сестринское дело очной формы обучения на базе среднего общего образования (11кл.) срок обучения 2 курса (2024)</t>
  </si>
  <si>
    <t>Сестринское дело очно-заочной формы обучения на базе основного общего образования (9кл.), срок обучения 4 курса(2024г)</t>
  </si>
  <si>
    <t>Лабораторная диагностика очной формы обучения на базе основного общего образования (9кл.), срок обучения 3 курса(2024г)</t>
  </si>
  <si>
    <t>Лабораторная диагностика очной формы обучения на базе среднего общего образования (11кл.), срок обучения 2 курса(2024г)</t>
  </si>
  <si>
    <t>Акушерское дело очной формы обучения на базе основного общего образования (9 кл.), срок обучения 4 курса (2024г)</t>
  </si>
  <si>
    <t>Стоматология ортопедическая очной формы обучения на базе среднего общего образования (11 кл.), срок обучения 2 курса(2024г)</t>
  </si>
  <si>
    <t>Фармация очной формы обучения на базе среднего общего образования(11кл.) , срок обучения 2 курса(2024г)</t>
  </si>
  <si>
    <t>Фармация очной формы обучения на базе основного общего образования(9кл.) , срок обучения 3 курса(2024г)</t>
  </si>
  <si>
    <t>Фармация очно-заочной формы обучения на базе медицинского образования (СПО, ВПО), срок обучения 2 курса (2024г)</t>
  </si>
  <si>
    <t>Сестринское дело очно-заочной формы обучения на базе среднего общего образования (11кл.), срок обучения 4 курса(2023г)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</si>
</sst>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0" xfId="0" applyNumberFormat="1" applyFont="1"/>
    <xf numFmtId="0" fontId="0" fillId="0" borderId="0" xfId="0" applyFill="1" applyBorder="1"/>
    <xf numFmtId="0" fontId="0" fillId="0" borderId="7" xfId="0" applyBorder="1"/>
    <xf numFmtId="3" fontId="1" fillId="0" borderId="8" xfId="0" applyNumberFormat="1" applyFont="1" applyFill="1" applyBorder="1" applyAlignment="1">
      <alignment horizontal="center"/>
    </xf>
    <xf numFmtId="0" fontId="0" fillId="0" borderId="9" xfId="0" applyBorder="1"/>
    <xf numFmtId="4" fontId="0" fillId="0" borderId="0" xfId="0" applyNumberFormat="1"/>
    <xf numFmtId="3" fontId="1" fillId="0" borderId="10" xfId="0" applyNumberFormat="1" applyFont="1" applyFill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3" fontId="1" fillId="0" borderId="16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3" fontId="1" fillId="0" borderId="24" xfId="0" applyNumberFormat="1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" fillId="0" borderId="0" xfId="0" applyFont="1" applyBorder="1" applyAlignment="1">
      <alignment wrapText="1"/>
    </xf>
    <xf numFmtId="3" fontId="1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Border="1"/>
    <xf numFmtId="3" fontId="1" fillId="2" borderId="0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6" fillId="0" borderId="16" xfId="0" applyNumberFormat="1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3" fontId="6" fillId="0" borderId="20" xfId="0" applyNumberFormat="1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3" fontId="6" fillId="0" borderId="30" xfId="0" applyNumberFormat="1" applyFont="1" applyFill="1" applyBorder="1" applyAlignment="1">
      <alignment horizontal="center"/>
    </xf>
    <xf numFmtId="3" fontId="5" fillId="0" borderId="30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3" fontId="1" fillId="0" borderId="30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3" fontId="1" fillId="0" borderId="14" xfId="0" applyNumberFormat="1" applyFont="1" applyFill="1" applyBorder="1" applyAlignment="1">
      <alignment horizontal="center"/>
    </xf>
    <xf numFmtId="3" fontId="1" fillId="0" borderId="31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1" fillId="0" borderId="21" xfId="0" applyNumberFormat="1" applyFont="1" applyFill="1" applyBorder="1" applyAlignment="1">
      <alignment horizontal="center"/>
    </xf>
    <xf numFmtId="3" fontId="1" fillId="0" borderId="20" xfId="0" applyNumberFormat="1" applyFont="1" applyFill="1" applyBorder="1" applyAlignment="1">
      <alignment horizontal="center"/>
    </xf>
    <xf numFmtId="3" fontId="1" fillId="0" borderId="23" xfId="0" applyNumberFormat="1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11" fillId="0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33" xfId="0" applyNumberFormat="1" applyFont="1" applyFill="1" applyBorder="1" applyAlignment="1">
      <alignment horizontal="center"/>
    </xf>
    <xf numFmtId="3" fontId="1" fillId="0" borderId="34" xfId="0" applyNumberFormat="1" applyFont="1" applyFill="1" applyBorder="1" applyAlignment="1">
      <alignment horizontal="center"/>
    </xf>
    <xf numFmtId="1" fontId="8" fillId="0" borderId="8" xfId="0" applyNumberFormat="1" applyFont="1" applyFill="1" applyBorder="1" applyAlignment="1">
      <alignment horizontal="center"/>
    </xf>
    <xf numFmtId="1" fontId="8" fillId="0" borderId="30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horizontal="center" wrapText="1"/>
    </xf>
    <xf numFmtId="3" fontId="1" fillId="0" borderId="19" xfId="0" applyNumberFormat="1" applyFont="1" applyFill="1" applyBorder="1" applyAlignment="1">
      <alignment horizontal="center"/>
    </xf>
    <xf numFmtId="3" fontId="6" fillId="0" borderId="32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/>
    </xf>
    <xf numFmtId="3" fontId="9" fillId="0" borderId="30" xfId="0" applyNumberFormat="1" applyFont="1" applyFill="1" applyBorder="1" applyAlignment="1">
      <alignment horizontal="center"/>
    </xf>
    <xf numFmtId="3" fontId="1" fillId="0" borderId="32" xfId="0" applyNumberFormat="1" applyFont="1" applyFill="1" applyBorder="1" applyAlignment="1">
      <alignment horizontal="center" wrapText="1"/>
    </xf>
    <xf numFmtId="3" fontId="1" fillId="0" borderId="19" xfId="0" applyNumberFormat="1" applyFont="1" applyFill="1" applyBorder="1" applyAlignment="1">
      <alignment horizontal="center" wrapText="1"/>
    </xf>
    <xf numFmtId="0" fontId="0" fillId="0" borderId="36" xfId="0" applyBorder="1"/>
    <xf numFmtId="0" fontId="1" fillId="0" borderId="3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39" xfId="0" applyBorder="1"/>
    <xf numFmtId="0" fontId="0" fillId="0" borderId="37" xfId="0" applyBorder="1"/>
    <xf numFmtId="3" fontId="6" fillId="0" borderId="4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wrapText="1"/>
    </xf>
    <xf numFmtId="0" fontId="1" fillId="0" borderId="38" xfId="0" applyFont="1" applyBorder="1" applyAlignment="1">
      <alignment wrapText="1"/>
    </xf>
    <xf numFmtId="3" fontId="1" fillId="0" borderId="24" xfId="0" applyNumberFormat="1" applyFont="1" applyFill="1" applyBorder="1" applyAlignment="1">
      <alignment horizontal="center" wrapText="1"/>
    </xf>
    <xf numFmtId="3" fontId="1" fillId="0" borderId="10" xfId="0" applyNumberFormat="1" applyFont="1" applyFill="1" applyBorder="1" applyAlignment="1">
      <alignment horizontal="center" wrapText="1"/>
    </xf>
    <xf numFmtId="3" fontId="1" fillId="0" borderId="40" xfId="0" applyNumberFormat="1" applyFont="1" applyFill="1" applyBorder="1" applyAlignment="1">
      <alignment horizontal="center"/>
    </xf>
    <xf numFmtId="3" fontId="1" fillId="0" borderId="42" xfId="0" applyNumberFormat="1" applyFont="1" applyFill="1" applyBorder="1" applyAlignment="1">
      <alignment horizontal="center"/>
    </xf>
    <xf numFmtId="1" fontId="8" fillId="0" borderId="33" xfId="0" applyNumberFormat="1" applyFont="1" applyFill="1" applyBorder="1" applyAlignment="1">
      <alignment horizontal="center"/>
    </xf>
    <xf numFmtId="1" fontId="8" fillId="0" borderId="34" xfId="0" applyNumberFormat="1" applyFont="1" applyFill="1" applyBorder="1" applyAlignment="1">
      <alignment horizontal="center"/>
    </xf>
    <xf numFmtId="0" fontId="0" fillId="0" borderId="45" xfId="0" applyBorder="1"/>
    <xf numFmtId="3" fontId="5" fillId="0" borderId="41" xfId="0" applyNumberFormat="1" applyFont="1" applyFill="1" applyBorder="1" applyAlignment="1">
      <alignment horizontal="center"/>
    </xf>
    <xf numFmtId="3" fontId="9" fillId="0" borderId="41" xfId="0" applyNumberFormat="1" applyFont="1" applyFill="1" applyBorder="1" applyAlignment="1">
      <alignment horizontal="center"/>
    </xf>
    <xf numFmtId="0" fontId="0" fillId="0" borderId="18" xfId="0" applyBorder="1"/>
    <xf numFmtId="0" fontId="0" fillId="0" borderId="35" xfId="0" applyBorder="1"/>
    <xf numFmtId="0" fontId="6" fillId="0" borderId="19" xfId="0" applyFont="1" applyBorder="1" applyAlignment="1">
      <alignment wrapText="1"/>
    </xf>
    <xf numFmtId="0" fontId="1" fillId="0" borderId="3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3" fontId="6" fillId="0" borderId="38" xfId="0" applyNumberFormat="1" applyFont="1" applyFill="1" applyBorder="1" applyAlignment="1">
      <alignment horizontal="center" wrapText="1"/>
    </xf>
    <xf numFmtId="3" fontId="6" fillId="0" borderId="19" xfId="0" applyNumberFormat="1" applyFont="1" applyFill="1" applyBorder="1" applyAlignment="1">
      <alignment horizontal="center" wrapText="1"/>
    </xf>
    <xf numFmtId="3" fontId="10" fillId="0" borderId="31" xfId="0" applyNumberFormat="1" applyFont="1" applyFill="1" applyBorder="1" applyAlignment="1">
      <alignment horizontal="center"/>
    </xf>
    <xf numFmtId="3" fontId="10" fillId="0" borderId="14" xfId="0" applyNumberFormat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 wrapText="1"/>
    </xf>
    <xf numFmtId="3" fontId="8" fillId="0" borderId="20" xfId="0" applyNumberFormat="1" applyFont="1" applyFill="1" applyBorder="1" applyAlignment="1">
      <alignment horizontal="center"/>
    </xf>
    <xf numFmtId="3" fontId="8" fillId="0" borderId="30" xfId="0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3" fontId="8" fillId="0" borderId="41" xfId="0" applyNumberFormat="1" applyFont="1" applyFill="1" applyBorder="1" applyAlignment="1">
      <alignment horizontal="center"/>
    </xf>
    <xf numFmtId="3" fontId="8" fillId="0" borderId="19" xfId="0" applyNumberFormat="1" applyFont="1" applyBorder="1" applyAlignment="1">
      <alignment horizontal="center" wrapText="1"/>
    </xf>
    <xf numFmtId="3" fontId="8" fillId="0" borderId="31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3" fontId="1" fillId="0" borderId="38" xfId="0" applyNumberFormat="1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3" fontId="1" fillId="0" borderId="0" xfId="0" applyNumberFormat="1" applyFont="1" applyFill="1"/>
    <xf numFmtId="3" fontId="8" fillId="0" borderId="18" xfId="0" applyNumberFormat="1" applyFont="1" applyFill="1" applyBorder="1" applyAlignment="1">
      <alignment horizontal="center"/>
    </xf>
    <xf numFmtId="3" fontId="8" fillId="0" borderId="35" xfId="0" applyNumberFormat="1" applyFont="1" applyFill="1" applyBorder="1" applyAlignment="1">
      <alignment horizontal="center"/>
    </xf>
    <xf numFmtId="3" fontId="1" fillId="0" borderId="32" xfId="0" applyNumberFormat="1" applyFont="1" applyFill="1" applyBorder="1" applyAlignment="1">
      <alignment horizontal="center"/>
    </xf>
    <xf numFmtId="0" fontId="6" fillId="0" borderId="5" xfId="0" applyFont="1" applyBorder="1" applyAlignment="1">
      <alignment wrapText="1"/>
    </xf>
    <xf numFmtId="3" fontId="8" fillId="0" borderId="5" xfId="0" applyNumberFormat="1" applyFont="1" applyBorder="1" applyAlignment="1">
      <alignment horizontal="center" wrapText="1"/>
    </xf>
    <xf numFmtId="3" fontId="8" fillId="0" borderId="48" xfId="0" applyNumberFormat="1" applyFont="1" applyFill="1" applyBorder="1" applyAlignment="1">
      <alignment horizontal="center"/>
    </xf>
    <xf numFmtId="3" fontId="8" fillId="0" borderId="45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1" fillId="0" borderId="49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6" fillId="0" borderId="38" xfId="0" applyFont="1" applyBorder="1" applyAlignment="1">
      <alignment wrapText="1"/>
    </xf>
    <xf numFmtId="0" fontId="8" fillId="0" borderId="19" xfId="0" applyFont="1" applyBorder="1" applyAlignment="1">
      <alignment horizontal="center" wrapText="1"/>
    </xf>
    <xf numFmtId="3" fontId="6" fillId="0" borderId="40" xfId="0" applyNumberFormat="1" applyFont="1" applyFill="1" applyBorder="1" applyAlignment="1">
      <alignment horizontal="center"/>
    </xf>
    <xf numFmtId="3" fontId="6" fillId="0" borderId="50" xfId="0" applyNumberFormat="1" applyFont="1" applyFill="1" applyBorder="1" applyAlignment="1">
      <alignment horizontal="center"/>
    </xf>
    <xf numFmtId="3" fontId="6" fillId="0" borderId="38" xfId="0" applyNumberFormat="1" applyFont="1" applyFill="1" applyBorder="1" applyAlignment="1">
      <alignment horizontal="center"/>
    </xf>
    <xf numFmtId="1" fontId="6" fillId="0" borderId="19" xfId="0" applyNumberFormat="1" applyFont="1" applyFill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" fontId="8" fillId="0" borderId="31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1" fillId="0" borderId="32" xfId="0" applyFont="1" applyBorder="1" applyAlignment="1">
      <alignment wrapText="1"/>
    </xf>
    <xf numFmtId="3" fontId="1" fillId="0" borderId="19" xfId="0" applyNumberFormat="1" applyFont="1" applyBorder="1" applyAlignment="1">
      <alignment wrapText="1"/>
    </xf>
    <xf numFmtId="3" fontId="8" fillId="0" borderId="19" xfId="0" applyNumberFormat="1" applyFont="1" applyFill="1" applyBorder="1" applyAlignment="1">
      <alignment horizontal="center" wrapText="1"/>
    </xf>
    <xf numFmtId="3" fontId="8" fillId="0" borderId="19" xfId="0" applyNumberFormat="1" applyFont="1" applyFill="1" applyBorder="1" applyAlignment="1">
      <alignment horizontal="center"/>
    </xf>
    <xf numFmtId="3" fontId="1" fillId="0" borderId="43" xfId="0" applyNumberFormat="1" applyFont="1" applyFill="1" applyBorder="1" applyAlignment="1">
      <alignment horizontal="center" wrapText="1"/>
    </xf>
    <xf numFmtId="3" fontId="8" fillId="0" borderId="17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8" fillId="0" borderId="32" xfId="0" applyNumberFormat="1" applyFont="1" applyBorder="1" applyAlignment="1">
      <alignment horizontal="center" wrapText="1"/>
    </xf>
    <xf numFmtId="3" fontId="8" fillId="0" borderId="33" xfId="0" applyNumberFormat="1" applyFont="1" applyFill="1" applyBorder="1" applyAlignment="1">
      <alignment horizontal="center"/>
    </xf>
    <xf numFmtId="3" fontId="8" fillId="0" borderId="3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99FF"/>
      <color rgb="FFFF99FF"/>
      <color rgb="FFCC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L32"/>
  <sheetViews>
    <sheetView topLeftCell="A17" zoomScale="90" zoomScaleNormal="90" zoomScaleSheetLayoutView="100" workbookViewId="0">
      <selection sqref="A1:J26"/>
    </sheetView>
  </sheetViews>
  <sheetFormatPr defaultRowHeight="15" x14ac:dyDescent="0.25"/>
  <cols>
    <col min="1" max="1" width="5" customWidth="1"/>
    <col min="2" max="2" width="53.42578125" customWidth="1"/>
    <col min="3" max="3" width="12" customWidth="1"/>
    <col min="4" max="4" width="10.7109375" customWidth="1"/>
    <col min="5" max="5" width="10.5703125" customWidth="1"/>
    <col min="6" max="6" width="10.42578125" customWidth="1"/>
    <col min="7" max="7" width="10.140625" customWidth="1"/>
    <col min="8" max="8" width="11.7109375" customWidth="1"/>
    <col min="9" max="9" width="10.85546875" customWidth="1"/>
    <col min="10" max="10" width="17.140625" customWidth="1"/>
    <col min="11" max="11" width="14.28515625" customWidth="1"/>
    <col min="12" max="12" width="15.7109375" customWidth="1"/>
  </cols>
  <sheetData>
    <row r="2" spans="2:12" ht="19.5" customHeight="1" x14ac:dyDescent="0.25">
      <c r="H2" s="135" t="s">
        <v>1</v>
      </c>
      <c r="I2" s="135"/>
      <c r="J2" s="135"/>
    </row>
    <row r="3" spans="2:12" ht="19.5" customHeight="1" x14ac:dyDescent="0.25">
      <c r="H3" s="135" t="s">
        <v>22</v>
      </c>
      <c r="I3" s="135"/>
      <c r="J3" s="135"/>
    </row>
    <row r="4" spans="2:12" ht="19.5" customHeight="1" x14ac:dyDescent="0.25">
      <c r="H4" s="135" t="s">
        <v>23</v>
      </c>
      <c r="I4" s="135"/>
      <c r="J4" s="135"/>
    </row>
    <row r="5" spans="2:12" ht="19.5" customHeight="1" x14ac:dyDescent="0.25">
      <c r="H5" s="135" t="s">
        <v>20</v>
      </c>
      <c r="I5" s="135"/>
      <c r="J5" s="135"/>
    </row>
    <row r="6" spans="2:12" x14ac:dyDescent="0.25">
      <c r="H6" s="136" t="s">
        <v>40</v>
      </c>
      <c r="I6" s="136"/>
      <c r="J6" s="136"/>
    </row>
    <row r="7" spans="2:12" x14ac:dyDescent="0.25">
      <c r="H7" s="18"/>
      <c r="I7" s="18"/>
    </row>
    <row r="8" spans="2:12" x14ac:dyDescent="0.25">
      <c r="H8" s="18"/>
      <c r="I8" s="18"/>
    </row>
    <row r="9" spans="2:12" ht="36.6" customHeight="1" x14ac:dyDescent="0.35">
      <c r="B9" s="125" t="s">
        <v>39</v>
      </c>
      <c r="C9" s="125"/>
      <c r="D9" s="125"/>
      <c r="E9" s="125"/>
      <c r="F9" s="125"/>
      <c r="G9" s="125"/>
      <c r="H9" s="125"/>
      <c r="I9" s="125"/>
      <c r="J9" s="49"/>
    </row>
    <row r="10" spans="2:12" ht="36.6" customHeight="1" x14ac:dyDescent="0.25">
      <c r="B10" s="126" t="s">
        <v>18</v>
      </c>
      <c r="C10" s="126"/>
      <c r="D10" s="126"/>
      <c r="E10" s="126"/>
      <c r="F10" s="126"/>
      <c r="G10" s="126"/>
      <c r="H10" s="126"/>
      <c r="I10" s="126"/>
    </row>
    <row r="11" spans="2:12" ht="36.6" customHeight="1" thickBot="1" x14ac:dyDescent="0.4">
      <c r="B11" s="3"/>
      <c r="C11" s="3"/>
      <c r="D11" s="3"/>
      <c r="E11" s="3"/>
      <c r="F11" s="3"/>
      <c r="G11" s="3"/>
      <c r="H11" s="3"/>
      <c r="I11" s="3"/>
    </row>
    <row r="12" spans="2:12" ht="27" customHeight="1" thickBot="1" x14ac:dyDescent="0.3">
      <c r="B12" s="129" t="s">
        <v>0</v>
      </c>
      <c r="C12" s="74"/>
      <c r="D12" s="132" t="s">
        <v>11</v>
      </c>
      <c r="E12" s="132"/>
      <c r="F12" s="132"/>
      <c r="G12" s="132"/>
      <c r="H12" s="132"/>
      <c r="I12" s="132"/>
      <c r="J12" s="127" t="s">
        <v>19</v>
      </c>
    </row>
    <row r="13" spans="2:12" ht="19.899999999999999" customHeight="1" thickBot="1" x14ac:dyDescent="0.3">
      <c r="B13" s="130"/>
      <c r="C13" s="75"/>
      <c r="D13" s="133" t="s">
        <v>8</v>
      </c>
      <c r="E13" s="134"/>
      <c r="F13" s="133" t="s">
        <v>9</v>
      </c>
      <c r="G13" s="134"/>
      <c r="H13" s="133" t="s">
        <v>10</v>
      </c>
      <c r="I13" s="134"/>
      <c r="J13" s="128"/>
    </row>
    <row r="14" spans="2:12" ht="25.9" customHeight="1" thickBot="1" x14ac:dyDescent="0.3">
      <c r="B14" s="131"/>
      <c r="C14" s="75" t="s">
        <v>17</v>
      </c>
      <c r="D14" s="76" t="s">
        <v>2</v>
      </c>
      <c r="E14" s="77" t="s">
        <v>3</v>
      </c>
      <c r="F14" s="76" t="s">
        <v>4</v>
      </c>
      <c r="G14" s="77" t="s">
        <v>5</v>
      </c>
      <c r="H14" s="76" t="s">
        <v>6</v>
      </c>
      <c r="I14" s="77" t="s">
        <v>7</v>
      </c>
      <c r="J14" s="128"/>
      <c r="K14" s="11"/>
      <c r="L14" s="11"/>
    </row>
    <row r="15" spans="2:12" ht="60.75" customHeight="1" x14ac:dyDescent="0.25">
      <c r="B15" s="156" t="s">
        <v>24</v>
      </c>
      <c r="C15" s="99">
        <v>80554</v>
      </c>
      <c r="D15" s="158">
        <v>42492</v>
      </c>
      <c r="E15" s="159">
        <v>42492</v>
      </c>
      <c r="F15" s="158">
        <f>42492*1.045</f>
        <v>44404.14</v>
      </c>
      <c r="G15" s="159">
        <f>42492*1.045</f>
        <v>44404.14</v>
      </c>
      <c r="H15" s="158">
        <f>42492*1.045*1.0952</f>
        <v>48631.414127999997</v>
      </c>
      <c r="I15" s="159">
        <f>42492*1.045*1.0952</f>
        <v>48631.414127999997</v>
      </c>
      <c r="J15" s="160">
        <f>SUM(C15:I15)-1</f>
        <v>351608.10825599998</v>
      </c>
      <c r="K15" s="10"/>
      <c r="L15" s="15"/>
    </row>
    <row r="16" spans="2:12" ht="60.75" customHeight="1" x14ac:dyDescent="0.25">
      <c r="B16" s="34" t="s">
        <v>27</v>
      </c>
      <c r="C16" s="62">
        <v>90174</v>
      </c>
      <c r="D16" s="30">
        <f>45085*1.045</f>
        <v>47113.824999999997</v>
      </c>
      <c r="E16" s="66">
        <f>45085*1.045</f>
        <v>47113.824999999997</v>
      </c>
      <c r="F16" s="30">
        <f>45085*1.045*1.0952</f>
        <v>51599.061139999998</v>
      </c>
      <c r="G16" s="66">
        <f>45085*1.045*1.0952</f>
        <v>51599.061139999998</v>
      </c>
      <c r="H16" s="30"/>
      <c r="I16" s="66"/>
      <c r="J16" s="58">
        <f>SUM(C16:I16)</f>
        <v>287599.77228000003</v>
      </c>
      <c r="K16" s="10"/>
      <c r="L16" s="15"/>
    </row>
    <row r="17" spans="2:12" ht="60.75" customHeight="1" x14ac:dyDescent="0.25">
      <c r="B17" s="34" t="s">
        <v>41</v>
      </c>
      <c r="C17" s="62">
        <v>108206</v>
      </c>
      <c r="D17" s="30">
        <f>54103*1.0952</f>
        <v>59253.605599999995</v>
      </c>
      <c r="E17" s="66">
        <f>54103*1.0952</f>
        <v>59253.605599999995</v>
      </c>
      <c r="F17" s="30">
        <f>54103*1.0952</f>
        <v>59253.605599999995</v>
      </c>
      <c r="G17" s="66">
        <f>54103*1.0952</f>
        <v>59253.605599999995</v>
      </c>
      <c r="H17" s="30"/>
      <c r="I17" s="66"/>
      <c r="J17" s="58">
        <f>SUM(C17:I17)+2</f>
        <v>345222.42240000004</v>
      </c>
      <c r="K17" s="10"/>
      <c r="L17" s="15"/>
    </row>
    <row r="18" spans="2:12" ht="54.75" customHeight="1" x14ac:dyDescent="0.25">
      <c r="B18" s="34" t="s">
        <v>28</v>
      </c>
      <c r="C18" s="62">
        <v>83898</v>
      </c>
      <c r="D18" s="30">
        <f t="shared" ref="D18:E18" si="0">41949*1.045</f>
        <v>43836.704999999994</v>
      </c>
      <c r="E18" s="66">
        <f t="shared" si="0"/>
        <v>43836.704999999994</v>
      </c>
      <c r="F18" s="30">
        <f>41949*1.045*1.0952</f>
        <v>48009.959315999993</v>
      </c>
      <c r="G18" s="66">
        <f>41949*1.045*1.0952</f>
        <v>48009.959315999993</v>
      </c>
      <c r="H18" s="30">
        <f>41949*1.045*1.0952</f>
        <v>48009.959315999993</v>
      </c>
      <c r="I18" s="66">
        <f>41949*1.045*1.0952</f>
        <v>48009.959315999993</v>
      </c>
      <c r="J18" s="58">
        <f>SUM(C18:I18)+1</f>
        <v>363612.24726399995</v>
      </c>
      <c r="K18" s="10"/>
      <c r="L18" s="15"/>
    </row>
    <row r="19" spans="2:12" ht="54.75" customHeight="1" x14ac:dyDescent="0.25">
      <c r="B19" s="34" t="s">
        <v>47</v>
      </c>
      <c r="C19" s="62">
        <v>100678</v>
      </c>
      <c r="D19" s="30">
        <f>50339*1.0952</f>
        <v>55131.272799999999</v>
      </c>
      <c r="E19" s="66">
        <f>50339*1.0952</f>
        <v>55131.272799999999</v>
      </c>
      <c r="F19" s="30">
        <f>50339*1.0952</f>
        <v>55131.272799999999</v>
      </c>
      <c r="G19" s="66">
        <f>50339*1.0952</f>
        <v>55131.272799999999</v>
      </c>
      <c r="H19" s="30">
        <f>50339*1.0952</f>
        <v>55131.272799999999</v>
      </c>
      <c r="I19" s="66">
        <f>50339*1.0952</f>
        <v>55131.272799999999</v>
      </c>
      <c r="J19" s="58">
        <f>SUM(C19:I19)-2</f>
        <v>431463.63679999992</v>
      </c>
      <c r="K19" s="10"/>
      <c r="L19" s="15"/>
    </row>
    <row r="20" spans="2:12" ht="60.75" customHeight="1" x14ac:dyDescent="0.25">
      <c r="B20" s="34" t="s">
        <v>42</v>
      </c>
      <c r="C20" s="62">
        <v>73752</v>
      </c>
      <c r="D20" s="32">
        <f>36876*1.0952</f>
        <v>40386.595199999996</v>
      </c>
      <c r="E20" s="37">
        <f>36876*1.0952</f>
        <v>40386.595199999996</v>
      </c>
      <c r="F20" s="32"/>
      <c r="G20" s="37"/>
      <c r="H20" s="32"/>
      <c r="I20" s="37"/>
      <c r="J20" s="58">
        <f>SUM(C20:I20)+1</f>
        <v>154526.19039999999</v>
      </c>
      <c r="K20" s="10"/>
      <c r="L20" s="15"/>
    </row>
    <row r="21" spans="2:12" ht="52.5" customHeight="1" x14ac:dyDescent="0.25">
      <c r="B21" s="36" t="s">
        <v>29</v>
      </c>
      <c r="C21" s="59">
        <v>84289</v>
      </c>
      <c r="D21" s="32">
        <f>42144*1.045</f>
        <v>44040.479999999996</v>
      </c>
      <c r="E21" s="37">
        <f>42144*1.045</f>
        <v>44040.479999999996</v>
      </c>
      <c r="F21" s="32">
        <f>42144*1.045*1.0952</f>
        <v>48233.13369599999</v>
      </c>
      <c r="G21" s="37">
        <f>42144*1.045*1.0952</f>
        <v>48233.13369599999</v>
      </c>
      <c r="H21" s="32"/>
      <c r="I21" s="37"/>
      <c r="J21" s="58">
        <f>SUM(C21:I21)-1</f>
        <v>268835.22739199997</v>
      </c>
      <c r="K21" s="10"/>
      <c r="L21" s="15"/>
    </row>
    <row r="22" spans="2:12" ht="52.5" customHeight="1" x14ac:dyDescent="0.25">
      <c r="B22" s="36" t="s">
        <v>43</v>
      </c>
      <c r="C22" s="59">
        <v>101146</v>
      </c>
      <c r="D22" s="32">
        <f>50573*1.0952</f>
        <v>55387.549599999998</v>
      </c>
      <c r="E22" s="37">
        <f>50573*1.0952</f>
        <v>55387.549599999998</v>
      </c>
      <c r="F22" s="32">
        <f>50573*1.0952</f>
        <v>55387.549599999998</v>
      </c>
      <c r="G22" s="37">
        <f>50573*1.0952</f>
        <v>55387.549599999998</v>
      </c>
      <c r="H22" s="32"/>
      <c r="I22" s="37"/>
      <c r="J22" s="58">
        <f>SUM(C22:I22)+2</f>
        <v>322698.19839999999</v>
      </c>
      <c r="K22" s="10"/>
      <c r="L22" s="15"/>
    </row>
    <row r="23" spans="2:12" ht="52.5" customHeight="1" x14ac:dyDescent="0.25">
      <c r="B23" s="36" t="s">
        <v>44</v>
      </c>
      <c r="C23" s="59">
        <v>106188</v>
      </c>
      <c r="D23" s="32">
        <f>53094*1.0952</f>
        <v>58148.548799999997</v>
      </c>
      <c r="E23" s="37">
        <f>53094*1.0952</f>
        <v>58148.548799999997</v>
      </c>
      <c r="F23" s="32"/>
      <c r="G23" s="37"/>
      <c r="H23" s="32"/>
      <c r="I23" s="37"/>
      <c r="J23" s="58">
        <f>SUM(C23:I23)+1</f>
        <v>222486.09759999998</v>
      </c>
      <c r="K23" s="10"/>
      <c r="L23" s="15"/>
    </row>
    <row r="24" spans="2:12" ht="45" x14ac:dyDescent="0.25">
      <c r="B24" s="36" t="s">
        <v>25</v>
      </c>
      <c r="C24" s="59">
        <v>37800</v>
      </c>
      <c r="D24" s="32">
        <v>19939</v>
      </c>
      <c r="E24" s="37">
        <v>19939</v>
      </c>
      <c r="F24" s="32">
        <f>19939*1.045</f>
        <v>20836.254999999997</v>
      </c>
      <c r="G24" s="37">
        <f>19939*1.045</f>
        <v>20836.254999999997</v>
      </c>
      <c r="H24" s="32">
        <f>19939*1.045*1.0952</f>
        <v>22819.866475999996</v>
      </c>
      <c r="I24" s="37">
        <f>19939*1.045*1.0952</f>
        <v>22819.866475999996</v>
      </c>
      <c r="J24" s="58">
        <f>SUM(C24:I24)</f>
        <v>164990.242952</v>
      </c>
      <c r="K24" s="10"/>
      <c r="L24" s="15"/>
    </row>
    <row r="25" spans="2:12" ht="45" x14ac:dyDescent="0.25">
      <c r="B25" s="36" t="s">
        <v>30</v>
      </c>
      <c r="C25" s="59">
        <v>42317</v>
      </c>
      <c r="D25" s="32">
        <f>21155*1.045</f>
        <v>22106.974999999999</v>
      </c>
      <c r="E25" s="37">
        <f>21155*1.045</f>
        <v>22106.974999999999</v>
      </c>
      <c r="F25" s="32">
        <f>21155*1.045*1.0952</f>
        <v>24211.559019999997</v>
      </c>
      <c r="G25" s="37">
        <f>21155*1.045*1.0952</f>
        <v>24211.559019999997</v>
      </c>
      <c r="H25" s="32"/>
      <c r="I25" s="37"/>
      <c r="J25" s="58">
        <f>SUM(C25:I25)+1</f>
        <v>134955.06803999998</v>
      </c>
    </row>
    <row r="26" spans="2:12" ht="45.75" thickBot="1" x14ac:dyDescent="0.3">
      <c r="B26" s="92" t="s">
        <v>45</v>
      </c>
      <c r="C26" s="157">
        <v>50774</v>
      </c>
      <c r="D26" s="162">
        <f>25387*1.0952</f>
        <v>27803.842399999998</v>
      </c>
      <c r="E26" s="163">
        <f>25387*1.0952</f>
        <v>27803.842399999998</v>
      </c>
      <c r="F26" s="162">
        <f>25387*1.0952</f>
        <v>27803.842399999998</v>
      </c>
      <c r="G26" s="163">
        <f>25387*1.0952</f>
        <v>27803.842399999998</v>
      </c>
      <c r="H26" s="164"/>
      <c r="I26" s="165"/>
      <c r="J26" s="161">
        <f>SUM(C26:I26)+1</f>
        <v>161990.36959999998</v>
      </c>
    </row>
    <row r="27" spans="2:12" x14ac:dyDescent="0.25">
      <c r="B27" s="1"/>
      <c r="C27" s="1"/>
      <c r="D27" s="2"/>
      <c r="E27" s="2"/>
      <c r="F27" s="2"/>
      <c r="G27" s="2"/>
      <c r="H27" s="2"/>
      <c r="I27" s="2"/>
    </row>
    <row r="28" spans="2:12" x14ac:dyDescent="0.25">
      <c r="B28" s="1"/>
      <c r="C28" s="1"/>
      <c r="D28" s="2"/>
      <c r="E28" s="2"/>
      <c r="F28" s="2"/>
      <c r="G28" s="2"/>
      <c r="H28" s="2"/>
      <c r="I28" s="2"/>
    </row>
    <row r="29" spans="2:12" x14ac:dyDescent="0.25">
      <c r="B29" s="1"/>
      <c r="C29" s="1"/>
      <c r="D29" s="2"/>
      <c r="E29" s="2"/>
      <c r="F29" s="2"/>
      <c r="G29" s="2"/>
      <c r="H29" s="2"/>
      <c r="I29" s="2"/>
    </row>
    <row r="30" spans="2:12" x14ac:dyDescent="0.25">
      <c r="B30" s="1"/>
      <c r="C30" s="1"/>
      <c r="D30" s="2"/>
      <c r="E30" s="2"/>
      <c r="F30" s="2"/>
      <c r="G30" s="2"/>
      <c r="H30" s="2"/>
      <c r="I30" s="2"/>
    </row>
    <row r="31" spans="2:12" x14ac:dyDescent="0.25">
      <c r="B31" s="1"/>
      <c r="C31" s="1"/>
      <c r="D31" s="2"/>
      <c r="E31" s="2"/>
      <c r="F31" s="2"/>
      <c r="G31" s="2"/>
      <c r="H31" s="2"/>
      <c r="I31" s="2"/>
    </row>
    <row r="32" spans="2:12" x14ac:dyDescent="0.25">
      <c r="B32" s="1"/>
      <c r="C32" s="1"/>
      <c r="D32" s="2"/>
      <c r="E32" s="2"/>
      <c r="F32" s="2"/>
      <c r="G32" s="2"/>
      <c r="H32" s="2"/>
      <c r="I32" s="2"/>
    </row>
  </sheetData>
  <mergeCells count="13">
    <mergeCell ref="H2:J2"/>
    <mergeCell ref="H3:J3"/>
    <mergeCell ref="H4:J4"/>
    <mergeCell ref="H5:J5"/>
    <mergeCell ref="H6:J6"/>
    <mergeCell ref="B9:I9"/>
    <mergeCell ref="B10:I10"/>
    <mergeCell ref="J12:J14"/>
    <mergeCell ref="B12:B14"/>
    <mergeCell ref="D12:I12"/>
    <mergeCell ref="D13:E13"/>
    <mergeCell ref="F13:G13"/>
    <mergeCell ref="H13:I13"/>
  </mergeCells>
  <phoneticPr fontId="4" type="noConversion"/>
  <pageMargins left="0" right="0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L35"/>
  <sheetViews>
    <sheetView topLeftCell="A19" zoomScaleNormal="100" zoomScaleSheetLayoutView="100" workbookViewId="0">
      <selection sqref="A1:J27"/>
    </sheetView>
  </sheetViews>
  <sheetFormatPr defaultRowHeight="15" x14ac:dyDescent="0.25"/>
  <cols>
    <col min="1" max="1" width="5" customWidth="1"/>
    <col min="2" max="2" width="53.42578125" customWidth="1"/>
    <col min="3" max="3" width="12" customWidth="1"/>
    <col min="4" max="4" width="10.7109375" customWidth="1"/>
    <col min="5" max="5" width="10.5703125" customWidth="1"/>
    <col min="6" max="6" width="10.42578125" customWidth="1"/>
    <col min="7" max="7" width="10.140625" customWidth="1"/>
    <col min="8" max="8" width="11.7109375" customWidth="1"/>
    <col min="9" max="9" width="11.85546875" bestFit="1" customWidth="1"/>
    <col min="10" max="10" width="17.140625" customWidth="1"/>
    <col min="11" max="11" width="14.28515625" customWidth="1"/>
  </cols>
  <sheetData>
    <row r="2" spans="2:12" ht="19.5" customHeight="1" x14ac:dyDescent="0.25">
      <c r="H2" s="135" t="s">
        <v>1</v>
      </c>
      <c r="I2" s="135"/>
      <c r="J2" s="135"/>
    </row>
    <row r="3" spans="2:12" ht="19.5" customHeight="1" x14ac:dyDescent="0.25">
      <c r="H3" s="135" t="s">
        <v>22</v>
      </c>
      <c r="I3" s="135"/>
      <c r="J3" s="135"/>
    </row>
    <row r="4" spans="2:12" ht="19.5" customHeight="1" x14ac:dyDescent="0.25">
      <c r="H4" s="135" t="s">
        <v>23</v>
      </c>
      <c r="I4" s="135"/>
      <c r="J4" s="135"/>
    </row>
    <row r="5" spans="2:12" ht="19.5" customHeight="1" x14ac:dyDescent="0.25">
      <c r="H5" s="135" t="s">
        <v>20</v>
      </c>
      <c r="I5" s="135"/>
      <c r="J5" s="135"/>
    </row>
    <row r="6" spans="2:12" ht="19.5" customHeight="1" x14ac:dyDescent="0.25">
      <c r="H6" s="136" t="str">
        <f>'Осн образ переход АФ'!H6:J6</f>
        <v>"___" _____________  2025  года</v>
      </c>
      <c r="I6" s="136"/>
      <c r="J6" s="136"/>
    </row>
    <row r="7" spans="2:12" ht="19.5" customHeight="1" x14ac:dyDescent="0.25">
      <c r="H7" s="18"/>
      <c r="I7" s="18"/>
    </row>
    <row r="9" spans="2:12" ht="36.6" customHeight="1" x14ac:dyDescent="0.35">
      <c r="B9" s="125" t="str">
        <f>'Осн образ переход АФ'!B9:I9</f>
        <v>Сведения об изменении стоимости платных образовательных услуг для продолжающих обучение         в ГБПОУ "Кузбасский медицинский колледж" в 2025-2026 году</v>
      </c>
      <c r="C9" s="125"/>
      <c r="D9" s="125"/>
      <c r="E9" s="125"/>
      <c r="F9" s="125"/>
      <c r="G9" s="125"/>
      <c r="H9" s="125"/>
      <c r="I9" s="125"/>
    </row>
    <row r="10" spans="2:12" ht="36.6" customHeight="1" x14ac:dyDescent="0.25">
      <c r="B10" s="126" t="s">
        <v>18</v>
      </c>
      <c r="C10" s="126"/>
      <c r="D10" s="126"/>
      <c r="E10" s="126"/>
      <c r="F10" s="126"/>
      <c r="G10" s="126"/>
      <c r="H10" s="126"/>
      <c r="I10" s="126"/>
    </row>
    <row r="11" spans="2:12" ht="36.6" customHeight="1" thickBot="1" x14ac:dyDescent="0.4">
      <c r="B11" s="3"/>
      <c r="C11" s="3"/>
      <c r="D11" s="3"/>
      <c r="E11" s="3"/>
      <c r="F11" s="3"/>
      <c r="G11" s="3"/>
      <c r="H11" s="3"/>
      <c r="I11" s="3"/>
    </row>
    <row r="12" spans="2:12" ht="27" customHeight="1" thickBot="1" x14ac:dyDescent="0.3">
      <c r="B12" s="129" t="s">
        <v>0</v>
      </c>
      <c r="C12" s="123"/>
      <c r="D12" s="132" t="s">
        <v>12</v>
      </c>
      <c r="E12" s="132"/>
      <c r="F12" s="132"/>
      <c r="G12" s="132"/>
      <c r="H12" s="132"/>
      <c r="I12" s="132"/>
      <c r="J12" s="127" t="s">
        <v>19</v>
      </c>
    </row>
    <row r="13" spans="2:12" ht="19.899999999999999" customHeight="1" thickBot="1" x14ac:dyDescent="0.3">
      <c r="B13" s="130"/>
      <c r="C13" s="124"/>
      <c r="D13" s="137" t="s">
        <v>8</v>
      </c>
      <c r="E13" s="138"/>
      <c r="F13" s="139" t="s">
        <v>9</v>
      </c>
      <c r="G13" s="138"/>
      <c r="H13" s="139" t="s">
        <v>10</v>
      </c>
      <c r="I13" s="137"/>
      <c r="J13" s="128"/>
    </row>
    <row r="14" spans="2:12" ht="25.9" customHeight="1" x14ac:dyDescent="0.25">
      <c r="B14" s="130"/>
      <c r="C14" s="124" t="s">
        <v>17</v>
      </c>
      <c r="D14" s="76" t="s">
        <v>2</v>
      </c>
      <c r="E14" s="77" t="s">
        <v>3</v>
      </c>
      <c r="F14" s="76" t="s">
        <v>4</v>
      </c>
      <c r="G14" s="77" t="s">
        <v>5</v>
      </c>
      <c r="H14" s="76" t="s">
        <v>6</v>
      </c>
      <c r="I14" s="77" t="s">
        <v>7</v>
      </c>
      <c r="J14" s="128"/>
      <c r="K14" s="11"/>
      <c r="L14" s="11"/>
    </row>
    <row r="15" spans="2:12" ht="60.75" customHeight="1" x14ac:dyDescent="0.25">
      <c r="B15" s="5" t="s">
        <v>24</v>
      </c>
      <c r="C15" s="63">
        <v>80554</v>
      </c>
      <c r="D15" s="13">
        <v>42492</v>
      </c>
      <c r="E15" s="40">
        <v>42492</v>
      </c>
      <c r="F15" s="13">
        <v>44404</v>
      </c>
      <c r="G15" s="40">
        <v>44404</v>
      </c>
      <c r="H15" s="13">
        <v>48631</v>
      </c>
      <c r="I15" s="40">
        <v>48631</v>
      </c>
      <c r="J15" s="61">
        <f>SUM(C15:I15)</f>
        <v>351608</v>
      </c>
      <c r="K15" s="27"/>
      <c r="L15" s="15"/>
    </row>
    <row r="16" spans="2:12" ht="60.75" customHeight="1" x14ac:dyDescent="0.25">
      <c r="B16" s="5" t="s">
        <v>27</v>
      </c>
      <c r="C16" s="63">
        <v>90174</v>
      </c>
      <c r="D16" s="13">
        <v>47114</v>
      </c>
      <c r="E16" s="40">
        <v>47114</v>
      </c>
      <c r="F16" s="13">
        <v>51599</v>
      </c>
      <c r="G16" s="40">
        <v>51599</v>
      </c>
      <c r="H16" s="13"/>
      <c r="I16" s="40"/>
      <c r="J16" s="61">
        <f>SUM(C16:I16)</f>
        <v>287600</v>
      </c>
      <c r="K16" s="27"/>
      <c r="L16" s="15"/>
    </row>
    <row r="17" spans="2:12" ht="60.75" customHeight="1" x14ac:dyDescent="0.25">
      <c r="B17" s="5" t="s">
        <v>41</v>
      </c>
      <c r="C17" s="63">
        <v>108206</v>
      </c>
      <c r="D17" s="13">
        <v>59254</v>
      </c>
      <c r="E17" s="40">
        <v>59254</v>
      </c>
      <c r="F17" s="13">
        <v>59254</v>
      </c>
      <c r="G17" s="40">
        <v>59254</v>
      </c>
      <c r="H17" s="13"/>
      <c r="I17" s="40"/>
      <c r="J17" s="61">
        <f>SUM(C17:I17)</f>
        <v>345222</v>
      </c>
      <c r="K17" s="27"/>
      <c r="L17" s="15"/>
    </row>
    <row r="18" spans="2:12" ht="60.75" customHeight="1" x14ac:dyDescent="0.25">
      <c r="B18" s="5" t="s">
        <v>28</v>
      </c>
      <c r="C18" s="63">
        <v>83898</v>
      </c>
      <c r="D18" s="13">
        <v>43837</v>
      </c>
      <c r="E18" s="40">
        <v>43837</v>
      </c>
      <c r="F18" s="13">
        <v>48010</v>
      </c>
      <c r="G18" s="40">
        <v>48010</v>
      </c>
      <c r="H18" s="13">
        <v>48010</v>
      </c>
      <c r="I18" s="40">
        <v>48010</v>
      </c>
      <c r="J18" s="61">
        <f>SUM(C18:I18)</f>
        <v>363612</v>
      </c>
      <c r="K18" s="27"/>
      <c r="L18" s="15"/>
    </row>
    <row r="19" spans="2:12" ht="60.75" customHeight="1" x14ac:dyDescent="0.25">
      <c r="B19" s="5" t="s">
        <v>47</v>
      </c>
      <c r="C19" s="63">
        <v>100678</v>
      </c>
      <c r="D19" s="13">
        <v>55131</v>
      </c>
      <c r="E19" s="40">
        <v>55131</v>
      </c>
      <c r="F19" s="13">
        <v>55131</v>
      </c>
      <c r="G19" s="40">
        <v>55131</v>
      </c>
      <c r="H19" s="13">
        <v>55131</v>
      </c>
      <c r="I19" s="40">
        <v>55131</v>
      </c>
      <c r="J19" s="61">
        <f>SUM(C19:I19)</f>
        <v>431464</v>
      </c>
      <c r="K19" s="27"/>
      <c r="L19" s="15"/>
    </row>
    <row r="20" spans="2:12" ht="52.5" customHeight="1" x14ac:dyDescent="0.25">
      <c r="B20" s="36" t="s">
        <v>42</v>
      </c>
      <c r="C20" s="59">
        <v>73752</v>
      </c>
      <c r="D20" s="32">
        <v>40387</v>
      </c>
      <c r="E20" s="37">
        <v>40387</v>
      </c>
      <c r="F20" s="32"/>
      <c r="G20" s="37"/>
      <c r="H20" s="32"/>
      <c r="I20" s="37"/>
      <c r="J20" s="58">
        <f t="shared" ref="J20" si="0">SUM(C20:I20)</f>
        <v>154526</v>
      </c>
      <c r="K20" s="10"/>
      <c r="L20" s="15"/>
    </row>
    <row r="21" spans="2:12" ht="52.5" customHeight="1" x14ac:dyDescent="0.25">
      <c r="B21" s="5" t="s">
        <v>29</v>
      </c>
      <c r="C21" s="63">
        <v>84289</v>
      </c>
      <c r="D21" s="13">
        <v>44040</v>
      </c>
      <c r="E21" s="40">
        <v>44040</v>
      </c>
      <c r="F21" s="13">
        <v>48233</v>
      </c>
      <c r="G21" s="40">
        <v>48233</v>
      </c>
      <c r="H21" s="13"/>
      <c r="I21" s="40"/>
      <c r="J21" s="58">
        <f>SUM(C21:I21)</f>
        <v>268835</v>
      </c>
      <c r="K21" s="10"/>
      <c r="L21" s="15"/>
    </row>
    <row r="22" spans="2:12" ht="52.5" customHeight="1" x14ac:dyDescent="0.25">
      <c r="B22" s="5" t="s">
        <v>43</v>
      </c>
      <c r="C22" s="63">
        <v>101146</v>
      </c>
      <c r="D22" s="13">
        <v>55388</v>
      </c>
      <c r="E22" s="40">
        <v>55388</v>
      </c>
      <c r="F22" s="13">
        <v>55388</v>
      </c>
      <c r="G22" s="40">
        <v>55388</v>
      </c>
      <c r="H22" s="13"/>
      <c r="I22" s="40"/>
      <c r="J22" s="58">
        <f>SUM(C22:I22)</f>
        <v>322698</v>
      </c>
      <c r="K22" s="10"/>
      <c r="L22" s="15"/>
    </row>
    <row r="23" spans="2:12" ht="45" x14ac:dyDescent="0.25">
      <c r="B23" s="5" t="s">
        <v>25</v>
      </c>
      <c r="C23" s="63">
        <v>37800</v>
      </c>
      <c r="D23" s="13">
        <v>19939</v>
      </c>
      <c r="E23" s="40">
        <v>19939</v>
      </c>
      <c r="F23" s="13">
        <v>20836</v>
      </c>
      <c r="G23" s="40">
        <v>20836</v>
      </c>
      <c r="H23" s="13">
        <v>22820</v>
      </c>
      <c r="I23" s="40">
        <v>22820</v>
      </c>
      <c r="J23" s="58">
        <f>SUM(C23:I23)</f>
        <v>164990</v>
      </c>
      <c r="K23" s="10"/>
      <c r="L23" s="15"/>
    </row>
    <row r="24" spans="2:12" ht="45" x14ac:dyDescent="0.25">
      <c r="B24" s="5" t="s">
        <v>30</v>
      </c>
      <c r="C24" s="71">
        <v>42317</v>
      </c>
      <c r="D24" s="54">
        <v>22107</v>
      </c>
      <c r="E24" s="55">
        <v>22107</v>
      </c>
      <c r="F24" s="54">
        <v>24212</v>
      </c>
      <c r="G24" s="55">
        <v>24212</v>
      </c>
      <c r="H24" s="54"/>
      <c r="I24" s="55"/>
      <c r="J24" s="58">
        <f>SUM(C24:I24)</f>
        <v>134955</v>
      </c>
      <c r="K24" s="10"/>
      <c r="L24" s="15"/>
    </row>
    <row r="25" spans="2:12" ht="45" x14ac:dyDescent="0.25">
      <c r="B25" s="5" t="s">
        <v>45</v>
      </c>
      <c r="C25" s="71">
        <v>50774</v>
      </c>
      <c r="D25" s="54">
        <v>27804</v>
      </c>
      <c r="E25" s="55">
        <v>27804</v>
      </c>
      <c r="F25" s="54">
        <v>27804</v>
      </c>
      <c r="G25" s="55">
        <v>27804</v>
      </c>
      <c r="H25" s="54"/>
      <c r="I25" s="55"/>
      <c r="J25" s="58">
        <f>SUM(C25:I25)</f>
        <v>161990</v>
      </c>
      <c r="K25" s="10"/>
      <c r="L25" s="15"/>
    </row>
    <row r="26" spans="2:12" ht="45" x14ac:dyDescent="0.25">
      <c r="B26" s="5" t="s">
        <v>37</v>
      </c>
      <c r="C26" s="103">
        <v>80812</v>
      </c>
      <c r="D26" s="106">
        <v>42224</v>
      </c>
      <c r="E26" s="105">
        <v>42224</v>
      </c>
      <c r="F26" s="13">
        <f>42224*1.0952</f>
        <v>46243.724799999996</v>
      </c>
      <c r="G26" s="40">
        <f>42224*1.0952</f>
        <v>46243.724799999996</v>
      </c>
      <c r="H26" s="13">
        <f>42224*1.0952</f>
        <v>46243.724799999996</v>
      </c>
      <c r="I26" s="40"/>
      <c r="J26" s="61">
        <f>SUM(C26:I26)+1</f>
        <v>303992.17440000002</v>
      </c>
    </row>
    <row r="27" spans="2:12" ht="45.75" thickBot="1" x14ac:dyDescent="0.3">
      <c r="B27" s="39" t="s">
        <v>46</v>
      </c>
      <c r="C27" s="108">
        <v>96974</v>
      </c>
      <c r="D27" s="110">
        <f>48487*1.0952</f>
        <v>53102.962399999997</v>
      </c>
      <c r="E27" s="109">
        <f>48487*1.0952</f>
        <v>53102.962399999997</v>
      </c>
      <c r="F27" s="43">
        <f>48487*1.0952</f>
        <v>53102.962399999997</v>
      </c>
      <c r="G27" s="44">
        <f>48487*1.0952</f>
        <v>53102.962399999997</v>
      </c>
      <c r="H27" s="43">
        <f>48487*1.0952</f>
        <v>53102.962399999997</v>
      </c>
      <c r="I27" s="44"/>
      <c r="J27" s="64">
        <f>SUM(C27:I27)</f>
        <v>362488.81199999998</v>
      </c>
    </row>
    <row r="28" spans="2:12" x14ac:dyDescent="0.25">
      <c r="B28" s="1"/>
      <c r="C28" s="1"/>
      <c r="D28" s="2"/>
      <c r="E28" s="2"/>
      <c r="F28" s="2"/>
      <c r="G28" s="2"/>
      <c r="H28" s="2"/>
      <c r="I28" s="2"/>
    </row>
    <row r="29" spans="2:12" x14ac:dyDescent="0.25">
      <c r="B29" s="1"/>
      <c r="C29" s="1"/>
      <c r="D29" s="2"/>
      <c r="E29" s="2"/>
      <c r="F29" s="2"/>
      <c r="G29" s="2"/>
      <c r="H29" s="2"/>
      <c r="I29" s="2"/>
    </row>
    <row r="30" spans="2:12" x14ac:dyDescent="0.25">
      <c r="B30" s="1"/>
      <c r="C30" s="1"/>
      <c r="D30" s="2"/>
      <c r="E30" s="2"/>
      <c r="F30" s="2"/>
      <c r="G30" s="2"/>
      <c r="H30" s="2"/>
      <c r="I30" s="2"/>
    </row>
    <row r="31" spans="2:12" x14ac:dyDescent="0.25">
      <c r="B31" s="1"/>
      <c r="C31" s="1"/>
      <c r="D31" s="2"/>
      <c r="E31" s="2"/>
      <c r="F31" s="2"/>
      <c r="G31" s="2"/>
      <c r="H31" s="2"/>
      <c r="I31" s="2"/>
    </row>
    <row r="32" spans="2:12" x14ac:dyDescent="0.25">
      <c r="B32" s="1"/>
      <c r="C32" s="1"/>
      <c r="D32" s="2"/>
      <c r="E32" s="2"/>
      <c r="F32" s="2"/>
      <c r="G32" s="2"/>
      <c r="H32" s="2"/>
      <c r="I32" s="2"/>
    </row>
    <row r="33" spans="2:9" x14ac:dyDescent="0.25">
      <c r="B33" s="1"/>
      <c r="C33" s="1"/>
      <c r="D33" s="2"/>
      <c r="E33" s="2"/>
      <c r="F33" s="2"/>
      <c r="G33" s="2"/>
      <c r="H33" s="2"/>
      <c r="I33" s="2"/>
    </row>
    <row r="34" spans="2:9" x14ac:dyDescent="0.25">
      <c r="B34" s="1"/>
      <c r="C34" s="1"/>
      <c r="D34" s="2"/>
      <c r="E34" s="2"/>
      <c r="F34" s="2"/>
      <c r="G34" s="2"/>
      <c r="H34" s="2"/>
      <c r="I34" s="2"/>
    </row>
    <row r="35" spans="2:9" x14ac:dyDescent="0.25">
      <c r="B35" s="1"/>
      <c r="C35" s="1"/>
      <c r="D35" s="2"/>
      <c r="E35" s="2"/>
      <c r="F35" s="2"/>
      <c r="G35" s="2"/>
      <c r="H35" s="2"/>
      <c r="I35" s="2"/>
    </row>
  </sheetData>
  <mergeCells count="13">
    <mergeCell ref="H2:J2"/>
    <mergeCell ref="H3:J3"/>
    <mergeCell ref="H4:J4"/>
    <mergeCell ref="H5:J5"/>
    <mergeCell ref="H6:J6"/>
    <mergeCell ref="J12:J14"/>
    <mergeCell ref="D13:E13"/>
    <mergeCell ref="F13:G13"/>
    <mergeCell ref="H13:I13"/>
    <mergeCell ref="B9:I9"/>
    <mergeCell ref="B12:B14"/>
    <mergeCell ref="D12:I12"/>
    <mergeCell ref="B10:I10"/>
  </mergeCells>
  <phoneticPr fontId="4" type="noConversion"/>
  <pageMargins left="0" right="0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L32"/>
  <sheetViews>
    <sheetView topLeftCell="A17" zoomScaleNormal="100" zoomScaleSheetLayoutView="100" workbookViewId="0">
      <selection activeCell="B2" sqref="B2:J24"/>
    </sheetView>
  </sheetViews>
  <sheetFormatPr defaultRowHeight="15" x14ac:dyDescent="0.25"/>
  <cols>
    <col min="1" max="1" width="5" customWidth="1"/>
    <col min="2" max="2" width="50.5703125" customWidth="1"/>
    <col min="3" max="3" width="12" customWidth="1"/>
    <col min="4" max="9" width="11.28515625" customWidth="1"/>
    <col min="10" max="10" width="17.140625" customWidth="1"/>
    <col min="11" max="11" width="14.28515625" customWidth="1"/>
  </cols>
  <sheetData>
    <row r="2" spans="2:12" ht="19.5" customHeight="1" x14ac:dyDescent="0.25">
      <c r="H2" s="135" t="s">
        <v>1</v>
      </c>
      <c r="I2" s="135"/>
      <c r="J2" s="135"/>
    </row>
    <row r="3" spans="2:12" ht="19.5" customHeight="1" x14ac:dyDescent="0.25">
      <c r="H3" s="135" t="s">
        <v>22</v>
      </c>
      <c r="I3" s="135"/>
      <c r="J3" s="135"/>
    </row>
    <row r="4" spans="2:12" ht="19.5" customHeight="1" x14ac:dyDescent="0.25">
      <c r="H4" s="135" t="s">
        <v>23</v>
      </c>
      <c r="I4" s="135"/>
      <c r="J4" s="135"/>
    </row>
    <row r="5" spans="2:12" ht="19.5" customHeight="1" x14ac:dyDescent="0.25">
      <c r="H5" s="135" t="s">
        <v>20</v>
      </c>
      <c r="I5" s="135"/>
      <c r="J5" s="135"/>
    </row>
    <row r="6" spans="2:12" ht="19.5" customHeight="1" x14ac:dyDescent="0.25">
      <c r="H6" s="136" t="str">
        <f>'Осн образ переход АФ'!H6:J6</f>
        <v>"___" _____________  2025  года</v>
      </c>
      <c r="I6" s="136"/>
      <c r="J6" s="136"/>
    </row>
    <row r="7" spans="2:12" ht="19.5" customHeight="1" x14ac:dyDescent="0.25">
      <c r="H7" s="18"/>
      <c r="I7" s="18"/>
    </row>
    <row r="9" spans="2:12" ht="36.6" customHeight="1" x14ac:dyDescent="0.35">
      <c r="B9" s="125" t="str">
        <f>'Осн образ переход АФ'!B9:I9</f>
        <v>Сведения об изменении стоимости платных образовательных услуг для продолжающих обучение         в ГБПОУ "Кузбасский медицинский колледж" в 2025-2026 году</v>
      </c>
      <c r="C9" s="125"/>
      <c r="D9" s="125"/>
      <c r="E9" s="125"/>
      <c r="F9" s="125"/>
      <c r="G9" s="125"/>
      <c r="H9" s="125"/>
      <c r="I9" s="125"/>
    </row>
    <row r="10" spans="2:12" ht="36.6" customHeight="1" x14ac:dyDescent="0.25">
      <c r="B10" s="126" t="s">
        <v>18</v>
      </c>
      <c r="C10" s="126"/>
      <c r="D10" s="126"/>
      <c r="E10" s="126"/>
      <c r="F10" s="126"/>
      <c r="G10" s="126"/>
      <c r="H10" s="126"/>
      <c r="I10" s="126"/>
    </row>
    <row r="11" spans="2:12" ht="36.6" customHeight="1" thickBot="1" x14ac:dyDescent="0.4">
      <c r="B11" s="3"/>
      <c r="C11" s="3"/>
      <c r="D11" s="3"/>
      <c r="E11" s="3"/>
      <c r="F11" s="3"/>
      <c r="G11" s="3"/>
      <c r="H11" s="3"/>
      <c r="I11" s="3"/>
    </row>
    <row r="12" spans="2:12" ht="27" customHeight="1" thickBot="1" x14ac:dyDescent="0.3">
      <c r="B12" s="129" t="s">
        <v>0</v>
      </c>
      <c r="C12" s="7"/>
      <c r="D12" s="132" t="s">
        <v>13</v>
      </c>
      <c r="E12" s="132"/>
      <c r="F12" s="132"/>
      <c r="G12" s="132"/>
      <c r="H12" s="132"/>
      <c r="I12" s="132"/>
      <c r="J12" s="127" t="s">
        <v>19</v>
      </c>
    </row>
    <row r="13" spans="2:12" ht="19.899999999999999" customHeight="1" thickBot="1" x14ac:dyDescent="0.3">
      <c r="B13" s="130"/>
      <c r="C13" s="8"/>
      <c r="D13" s="133" t="s">
        <v>8</v>
      </c>
      <c r="E13" s="134"/>
      <c r="F13" s="133" t="s">
        <v>9</v>
      </c>
      <c r="G13" s="134"/>
      <c r="H13" s="133" t="s">
        <v>10</v>
      </c>
      <c r="I13" s="134"/>
      <c r="J13" s="128"/>
    </row>
    <row r="14" spans="2:12" ht="25.9" customHeight="1" thickBot="1" x14ac:dyDescent="0.3">
      <c r="B14" s="131"/>
      <c r="C14" s="9" t="s">
        <v>17</v>
      </c>
      <c r="D14" s="12" t="s">
        <v>2</v>
      </c>
      <c r="E14" s="14" t="s">
        <v>3</v>
      </c>
      <c r="F14" s="12" t="s">
        <v>4</v>
      </c>
      <c r="G14" s="14" t="s">
        <v>5</v>
      </c>
      <c r="H14" s="12" t="s">
        <v>6</v>
      </c>
      <c r="I14" s="14" t="s">
        <v>7</v>
      </c>
      <c r="J14" s="128"/>
      <c r="K14" s="11"/>
      <c r="L14" s="11"/>
    </row>
    <row r="15" spans="2:12" ht="60.75" customHeight="1" x14ac:dyDescent="0.25">
      <c r="B15" s="80" t="s">
        <v>24</v>
      </c>
      <c r="C15" s="111">
        <v>80554</v>
      </c>
      <c r="D15" s="83">
        <v>42492</v>
      </c>
      <c r="E15" s="84">
        <v>42492</v>
      </c>
      <c r="F15" s="83">
        <v>44404</v>
      </c>
      <c r="G15" s="84">
        <v>44404</v>
      </c>
      <c r="H15" s="83">
        <v>48631</v>
      </c>
      <c r="I15" s="84">
        <v>48631</v>
      </c>
      <c r="J15" s="61">
        <f>SUM(C15:I15)</f>
        <v>351608</v>
      </c>
      <c r="K15" s="10"/>
      <c r="L15" s="15"/>
    </row>
    <row r="16" spans="2:12" ht="60.75" customHeight="1" x14ac:dyDescent="0.25">
      <c r="B16" s="4" t="s">
        <v>27</v>
      </c>
      <c r="C16" s="60">
        <v>90174</v>
      </c>
      <c r="D16" s="20">
        <v>47114</v>
      </c>
      <c r="E16" s="19">
        <v>47114</v>
      </c>
      <c r="F16" s="20">
        <v>51599</v>
      </c>
      <c r="G16" s="19">
        <v>51599</v>
      </c>
      <c r="H16" s="20"/>
      <c r="I16" s="19"/>
      <c r="J16" s="61">
        <f>SUM(C16:I16)</f>
        <v>287600</v>
      </c>
      <c r="K16" s="10"/>
      <c r="L16" s="15"/>
    </row>
    <row r="17" spans="2:12" ht="60.75" customHeight="1" x14ac:dyDescent="0.25">
      <c r="B17" s="4" t="s">
        <v>41</v>
      </c>
      <c r="C17" s="60">
        <v>108206</v>
      </c>
      <c r="D17" s="20">
        <v>59254</v>
      </c>
      <c r="E17" s="19">
        <v>59254</v>
      </c>
      <c r="F17" s="20">
        <v>59254</v>
      </c>
      <c r="G17" s="19">
        <v>59254</v>
      </c>
      <c r="H17" s="20"/>
      <c r="I17" s="19"/>
      <c r="J17" s="61">
        <f>SUM(C17:I17)</f>
        <v>345222</v>
      </c>
      <c r="K17" s="10"/>
      <c r="L17" s="15"/>
    </row>
    <row r="18" spans="2:12" ht="60.75" customHeight="1" x14ac:dyDescent="0.25">
      <c r="B18" s="4" t="s">
        <v>28</v>
      </c>
      <c r="C18" s="60">
        <v>83898</v>
      </c>
      <c r="D18" s="20">
        <v>43837</v>
      </c>
      <c r="E18" s="19">
        <v>43837</v>
      </c>
      <c r="F18" s="20">
        <f>43837*1.0952</f>
        <v>48010.282399999996</v>
      </c>
      <c r="G18" s="19">
        <f>43837*1.0952</f>
        <v>48010.282399999996</v>
      </c>
      <c r="H18" s="20">
        <f>43837*1.0952</f>
        <v>48010.282399999996</v>
      </c>
      <c r="I18" s="19">
        <f>43837*1.0952</f>
        <v>48010.282399999996</v>
      </c>
      <c r="J18" s="61">
        <f>SUM(C18:I18)-1</f>
        <v>363612.12959999999</v>
      </c>
      <c r="K18" s="10"/>
      <c r="L18" s="15"/>
    </row>
    <row r="19" spans="2:12" ht="60.75" customHeight="1" x14ac:dyDescent="0.25">
      <c r="B19" s="4" t="s">
        <v>28</v>
      </c>
      <c r="C19" s="60">
        <v>100678</v>
      </c>
      <c r="D19" s="20">
        <v>55131</v>
      </c>
      <c r="E19" s="19">
        <v>55131</v>
      </c>
      <c r="F19" s="20">
        <v>55131</v>
      </c>
      <c r="G19" s="19">
        <v>55131</v>
      </c>
      <c r="H19" s="20">
        <v>55131</v>
      </c>
      <c r="I19" s="19">
        <v>55131</v>
      </c>
      <c r="J19" s="61">
        <f>SUM(C19:I19)</f>
        <v>431464</v>
      </c>
      <c r="K19" s="10"/>
      <c r="L19" s="15"/>
    </row>
    <row r="20" spans="2:12" ht="52.5" customHeight="1" x14ac:dyDescent="0.25">
      <c r="B20" s="5" t="s">
        <v>29</v>
      </c>
      <c r="C20" s="63">
        <v>84289</v>
      </c>
      <c r="D20" s="13">
        <v>44040</v>
      </c>
      <c r="E20" s="17">
        <v>44040</v>
      </c>
      <c r="F20" s="13">
        <v>48233</v>
      </c>
      <c r="G20" s="17">
        <v>48233</v>
      </c>
      <c r="H20" s="13"/>
      <c r="I20" s="17"/>
      <c r="J20" s="61">
        <f>SUM(C20:I20)</f>
        <v>268835</v>
      </c>
      <c r="K20" s="10"/>
      <c r="L20" s="15"/>
    </row>
    <row r="21" spans="2:12" ht="52.5" customHeight="1" x14ac:dyDescent="0.25">
      <c r="B21" s="5" t="s">
        <v>43</v>
      </c>
      <c r="C21" s="63">
        <v>101146</v>
      </c>
      <c r="D21" s="13">
        <v>55388</v>
      </c>
      <c r="E21" s="40">
        <v>55388</v>
      </c>
      <c r="F21" s="13">
        <v>55388</v>
      </c>
      <c r="G21" s="40">
        <v>55388</v>
      </c>
      <c r="H21" s="13"/>
      <c r="I21" s="40"/>
      <c r="J21" s="61">
        <f>SUM(C21:I21)</f>
        <v>322698</v>
      </c>
      <c r="K21" s="10"/>
      <c r="L21" s="15"/>
    </row>
    <row r="22" spans="2:12" ht="45" x14ac:dyDescent="0.25">
      <c r="B22" s="5" t="s">
        <v>25</v>
      </c>
      <c r="C22" s="63">
        <v>37800</v>
      </c>
      <c r="D22" s="13">
        <v>19939</v>
      </c>
      <c r="E22" s="40">
        <v>19939</v>
      </c>
      <c r="F22" s="13">
        <v>20836</v>
      </c>
      <c r="G22" s="40">
        <v>20836</v>
      </c>
      <c r="H22" s="13">
        <v>22820</v>
      </c>
      <c r="I22" s="40">
        <v>22820</v>
      </c>
      <c r="J22" s="61">
        <f>SUM(C22:I22)</f>
        <v>164990</v>
      </c>
      <c r="K22" s="10"/>
      <c r="L22" s="15"/>
    </row>
    <row r="23" spans="2:12" ht="45" x14ac:dyDescent="0.25">
      <c r="B23" s="166" t="s">
        <v>30</v>
      </c>
      <c r="C23" s="63">
        <v>42317</v>
      </c>
      <c r="D23" s="13">
        <v>22107</v>
      </c>
      <c r="E23" s="40">
        <v>22107</v>
      </c>
      <c r="F23" s="13">
        <v>24212</v>
      </c>
      <c r="G23" s="40">
        <v>24212</v>
      </c>
      <c r="H23" s="13"/>
      <c r="I23" s="40"/>
      <c r="J23" s="61">
        <f>SUM(C23:I23)</f>
        <v>134955</v>
      </c>
    </row>
    <row r="24" spans="2:12" ht="45.75" thickBot="1" x14ac:dyDescent="0.3">
      <c r="B24" s="167" t="s">
        <v>45</v>
      </c>
      <c r="C24" s="168">
        <v>50774</v>
      </c>
      <c r="D24" s="110">
        <v>27804</v>
      </c>
      <c r="E24" s="109">
        <v>27804</v>
      </c>
      <c r="F24" s="110">
        <v>27804</v>
      </c>
      <c r="G24" s="109">
        <v>27804</v>
      </c>
      <c r="H24" s="110"/>
      <c r="I24" s="109"/>
      <c r="J24" s="169">
        <f>SUM(C24:I24)</f>
        <v>161990</v>
      </c>
    </row>
    <row r="25" spans="2:12" x14ac:dyDescent="0.25">
      <c r="B25" s="1"/>
      <c r="C25" s="21"/>
      <c r="D25" s="11"/>
      <c r="E25" s="11"/>
      <c r="F25" s="11"/>
      <c r="G25" s="11"/>
      <c r="H25" s="11"/>
      <c r="I25" s="11"/>
      <c r="J25" s="6"/>
    </row>
    <row r="26" spans="2:12" x14ac:dyDescent="0.25">
      <c r="B26" s="1"/>
      <c r="C26" s="1"/>
      <c r="D26" s="2"/>
      <c r="E26" s="2"/>
      <c r="F26" s="2"/>
      <c r="G26" s="2"/>
      <c r="H26" s="2"/>
      <c r="I26" s="2"/>
    </row>
    <row r="27" spans="2:12" x14ac:dyDescent="0.25">
      <c r="B27" s="1"/>
      <c r="C27" s="1"/>
      <c r="D27" s="2"/>
      <c r="E27" s="2"/>
      <c r="F27" s="2"/>
      <c r="G27" s="2"/>
      <c r="H27" s="2"/>
      <c r="I27" s="2"/>
    </row>
    <row r="28" spans="2:12" x14ac:dyDescent="0.25">
      <c r="B28" s="1"/>
      <c r="C28" s="1"/>
      <c r="D28" s="2"/>
      <c r="E28" s="2"/>
      <c r="F28" s="2"/>
      <c r="G28" s="2"/>
      <c r="H28" s="2"/>
      <c r="I28" s="2"/>
    </row>
    <row r="29" spans="2:12" x14ac:dyDescent="0.25">
      <c r="B29" s="1"/>
      <c r="C29" s="1"/>
      <c r="D29" s="2"/>
      <c r="E29" s="2"/>
      <c r="F29" s="2"/>
      <c r="G29" s="2"/>
      <c r="H29" s="2"/>
      <c r="I29" s="2"/>
    </row>
    <row r="30" spans="2:12" x14ac:dyDescent="0.25">
      <c r="B30" s="1"/>
      <c r="C30" s="1"/>
      <c r="D30" s="2"/>
      <c r="E30" s="2"/>
      <c r="F30" s="2"/>
      <c r="G30" s="2"/>
      <c r="H30" s="2"/>
      <c r="I30" s="2"/>
    </row>
    <row r="31" spans="2:12" x14ac:dyDescent="0.25">
      <c r="B31" s="1"/>
      <c r="C31" s="1"/>
      <c r="D31" s="2"/>
      <c r="E31" s="2"/>
      <c r="F31" s="2"/>
      <c r="G31" s="2"/>
      <c r="H31" s="2"/>
      <c r="I31" s="2"/>
    </row>
    <row r="32" spans="2:12" x14ac:dyDescent="0.25">
      <c r="B32" s="1"/>
      <c r="C32" s="1"/>
      <c r="D32" s="2"/>
      <c r="E32" s="2"/>
      <c r="F32" s="2"/>
      <c r="G32" s="2"/>
      <c r="H32" s="2"/>
      <c r="I32" s="2"/>
    </row>
  </sheetData>
  <mergeCells count="13">
    <mergeCell ref="H2:J2"/>
    <mergeCell ref="H3:J3"/>
    <mergeCell ref="H4:J4"/>
    <mergeCell ref="H5:J5"/>
    <mergeCell ref="H6:J6"/>
    <mergeCell ref="J12:J14"/>
    <mergeCell ref="D13:E13"/>
    <mergeCell ref="F13:G13"/>
    <mergeCell ref="H13:I13"/>
    <mergeCell ref="B9:I9"/>
    <mergeCell ref="B12:B14"/>
    <mergeCell ref="D12:I12"/>
    <mergeCell ref="B10:I10"/>
  </mergeCells>
  <phoneticPr fontId="4" type="noConversion"/>
  <pageMargins left="0" right="0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L33"/>
  <sheetViews>
    <sheetView topLeftCell="A18" zoomScaleNormal="100" zoomScaleSheetLayoutView="100" workbookViewId="0">
      <selection activeCell="B2" sqref="B2:J26"/>
    </sheetView>
  </sheetViews>
  <sheetFormatPr defaultRowHeight="15" x14ac:dyDescent="0.25"/>
  <cols>
    <col min="1" max="1" width="5" customWidth="1"/>
    <col min="2" max="2" width="53.42578125" customWidth="1"/>
    <col min="3" max="3" width="12" customWidth="1"/>
    <col min="4" max="4" width="10.7109375" customWidth="1"/>
    <col min="5" max="5" width="10.5703125" customWidth="1"/>
    <col min="6" max="6" width="10.42578125" customWidth="1"/>
    <col min="7" max="7" width="10.140625" customWidth="1"/>
    <col min="8" max="8" width="11.7109375" customWidth="1"/>
    <col min="9" max="9" width="10.85546875" customWidth="1"/>
    <col min="10" max="10" width="17.140625" customWidth="1"/>
    <col min="11" max="11" width="14.28515625" customWidth="1"/>
  </cols>
  <sheetData>
    <row r="2" spans="2:12" ht="19.5" customHeight="1" x14ac:dyDescent="0.25">
      <c r="H2" s="135" t="s">
        <v>1</v>
      </c>
      <c r="I2" s="135"/>
      <c r="J2" s="135"/>
    </row>
    <row r="3" spans="2:12" ht="19.5" customHeight="1" x14ac:dyDescent="0.25">
      <c r="H3" s="135" t="s">
        <v>22</v>
      </c>
      <c r="I3" s="135"/>
      <c r="J3" s="135"/>
    </row>
    <row r="4" spans="2:12" ht="19.5" customHeight="1" x14ac:dyDescent="0.25">
      <c r="H4" s="135" t="s">
        <v>23</v>
      </c>
      <c r="I4" s="135"/>
      <c r="J4" s="135"/>
    </row>
    <row r="5" spans="2:12" ht="19.5" customHeight="1" x14ac:dyDescent="0.25">
      <c r="H5" s="135" t="s">
        <v>20</v>
      </c>
      <c r="I5" s="135"/>
      <c r="J5" s="135"/>
    </row>
    <row r="6" spans="2:12" ht="19.5" customHeight="1" x14ac:dyDescent="0.25">
      <c r="H6" s="136" t="str">
        <f>'Осн образ переход АФ'!H6:J6</f>
        <v>"___" _____________  2025  года</v>
      </c>
      <c r="I6" s="136"/>
      <c r="J6" s="136"/>
    </row>
    <row r="7" spans="2:12" ht="19.5" customHeight="1" x14ac:dyDescent="0.25">
      <c r="H7" s="18"/>
      <c r="I7" s="18"/>
    </row>
    <row r="9" spans="2:12" ht="36.6" customHeight="1" x14ac:dyDescent="0.35">
      <c r="B9" s="125" t="str">
        <f>'Осн образ переход АФ'!B9:I9</f>
        <v>Сведения об изменении стоимости платных образовательных услуг для продолжающих обучение         в ГБПОУ "Кузбасский медицинский колледж" в 2025-2026 году</v>
      </c>
      <c r="C9" s="125"/>
      <c r="D9" s="125"/>
      <c r="E9" s="125"/>
      <c r="F9" s="125"/>
      <c r="G9" s="125"/>
      <c r="H9" s="125"/>
      <c r="I9" s="125"/>
    </row>
    <row r="10" spans="2:12" ht="36.6" customHeight="1" x14ac:dyDescent="0.25">
      <c r="B10" s="126" t="s">
        <v>18</v>
      </c>
      <c r="C10" s="126"/>
      <c r="D10" s="126"/>
      <c r="E10" s="126"/>
      <c r="F10" s="126"/>
      <c r="G10" s="126"/>
      <c r="H10" s="126"/>
      <c r="I10" s="126"/>
    </row>
    <row r="11" spans="2:12" ht="36.6" customHeight="1" thickBot="1" x14ac:dyDescent="0.4">
      <c r="B11" s="3"/>
      <c r="C11" s="3"/>
      <c r="D11" s="3"/>
      <c r="E11" s="3"/>
      <c r="F11" s="3"/>
      <c r="G11" s="3"/>
      <c r="H11" s="3"/>
      <c r="I11" s="3"/>
    </row>
    <row r="12" spans="2:12" ht="27" customHeight="1" thickBot="1" x14ac:dyDescent="0.3">
      <c r="B12" s="129" t="s">
        <v>0</v>
      </c>
      <c r="C12" s="51"/>
      <c r="D12" s="132" t="s">
        <v>14</v>
      </c>
      <c r="E12" s="132"/>
      <c r="F12" s="132"/>
      <c r="G12" s="132"/>
      <c r="H12" s="132"/>
      <c r="I12" s="132"/>
      <c r="J12" s="127" t="s">
        <v>19</v>
      </c>
    </row>
    <row r="13" spans="2:12" ht="19.899999999999999" customHeight="1" thickBot="1" x14ac:dyDescent="0.3">
      <c r="B13" s="130"/>
      <c r="C13" s="52"/>
      <c r="D13" s="133" t="s">
        <v>8</v>
      </c>
      <c r="E13" s="134"/>
      <c r="F13" s="133" t="s">
        <v>9</v>
      </c>
      <c r="G13" s="134"/>
      <c r="H13" s="133" t="s">
        <v>10</v>
      </c>
      <c r="I13" s="134"/>
      <c r="J13" s="128"/>
    </row>
    <row r="14" spans="2:12" ht="25.9" customHeight="1" thickBot="1" x14ac:dyDescent="0.3">
      <c r="B14" s="130"/>
      <c r="C14" s="53" t="s">
        <v>17</v>
      </c>
      <c r="D14" s="12" t="s">
        <v>2</v>
      </c>
      <c r="E14" s="14" t="s">
        <v>3</v>
      </c>
      <c r="F14" s="12" t="s">
        <v>4</v>
      </c>
      <c r="G14" s="14" t="s">
        <v>5</v>
      </c>
      <c r="H14" s="12" t="s">
        <v>6</v>
      </c>
      <c r="I14" s="14" t="s">
        <v>7</v>
      </c>
      <c r="J14" s="128"/>
      <c r="K14" s="11"/>
      <c r="L14" s="11"/>
    </row>
    <row r="15" spans="2:12" ht="60.75" customHeight="1" x14ac:dyDescent="0.25">
      <c r="B15" s="5" t="s">
        <v>24</v>
      </c>
      <c r="C15" s="81">
        <v>80554</v>
      </c>
      <c r="D15" s="20">
        <v>42492</v>
      </c>
      <c r="E15" s="19">
        <v>42492</v>
      </c>
      <c r="F15" s="46">
        <v>44404</v>
      </c>
      <c r="G15" s="22">
        <v>44404</v>
      </c>
      <c r="H15" s="20">
        <v>48631</v>
      </c>
      <c r="I15" s="19">
        <v>48631</v>
      </c>
      <c r="J15" s="61">
        <f>SUM(C15:I15)</f>
        <v>351608</v>
      </c>
      <c r="K15" s="10"/>
      <c r="L15" s="15"/>
    </row>
    <row r="16" spans="2:12" ht="60.75" customHeight="1" x14ac:dyDescent="0.25">
      <c r="B16" s="5" t="s">
        <v>27</v>
      </c>
      <c r="C16" s="81">
        <v>90174</v>
      </c>
      <c r="D16" s="20">
        <v>47114</v>
      </c>
      <c r="E16" s="19">
        <v>47114</v>
      </c>
      <c r="F16" s="46">
        <v>51599</v>
      </c>
      <c r="G16" s="22">
        <v>51599</v>
      </c>
      <c r="H16" s="20"/>
      <c r="I16" s="19"/>
      <c r="J16" s="61">
        <f>SUM(C16:I16)</f>
        <v>287600</v>
      </c>
      <c r="K16" s="113"/>
      <c r="L16" s="15"/>
    </row>
    <row r="17" spans="2:12" ht="60.75" customHeight="1" x14ac:dyDescent="0.25">
      <c r="B17" s="5" t="s">
        <v>41</v>
      </c>
      <c r="C17" s="81">
        <v>108206</v>
      </c>
      <c r="D17" s="20">
        <v>59254</v>
      </c>
      <c r="E17" s="19">
        <v>59254</v>
      </c>
      <c r="F17" s="46">
        <v>59254</v>
      </c>
      <c r="G17" s="22">
        <v>59254</v>
      </c>
      <c r="H17" s="20"/>
      <c r="I17" s="19"/>
      <c r="J17" s="61">
        <f>SUM(C17:I17)</f>
        <v>345222</v>
      </c>
      <c r="K17" s="113"/>
      <c r="L17" s="15"/>
    </row>
    <row r="18" spans="2:12" ht="60.75" customHeight="1" x14ac:dyDescent="0.25">
      <c r="B18" s="5" t="s">
        <v>28</v>
      </c>
      <c r="C18" s="81">
        <v>83898</v>
      </c>
      <c r="D18" s="20">
        <v>43837</v>
      </c>
      <c r="E18" s="19">
        <v>43837</v>
      </c>
      <c r="F18" s="46">
        <v>48010</v>
      </c>
      <c r="G18" s="22">
        <v>48010</v>
      </c>
      <c r="H18" s="20">
        <v>48010</v>
      </c>
      <c r="I18" s="19">
        <v>48010</v>
      </c>
      <c r="J18" s="61">
        <f>SUM(C18:I18)+1</f>
        <v>363613</v>
      </c>
      <c r="K18" s="113"/>
      <c r="L18" s="15"/>
    </row>
    <row r="19" spans="2:12" ht="60.75" customHeight="1" x14ac:dyDescent="0.25">
      <c r="B19" s="5" t="s">
        <v>47</v>
      </c>
      <c r="C19" s="81">
        <v>100678</v>
      </c>
      <c r="D19" s="20">
        <v>55131</v>
      </c>
      <c r="E19" s="19">
        <v>55131</v>
      </c>
      <c r="F19" s="46">
        <v>55131</v>
      </c>
      <c r="G19" s="22">
        <v>55131</v>
      </c>
      <c r="H19" s="20">
        <v>55131</v>
      </c>
      <c r="I19" s="19">
        <v>55131</v>
      </c>
      <c r="J19" s="61">
        <f>SUM(C19:I19)</f>
        <v>431464</v>
      </c>
      <c r="K19" s="113"/>
      <c r="L19" s="15"/>
    </row>
    <row r="20" spans="2:12" ht="52.5" customHeight="1" x14ac:dyDescent="0.25">
      <c r="B20" s="5" t="s">
        <v>29</v>
      </c>
      <c r="C20" s="82">
        <v>84289</v>
      </c>
      <c r="D20" s="13">
        <v>44040</v>
      </c>
      <c r="E20" s="17">
        <v>44040</v>
      </c>
      <c r="F20" s="47">
        <v>48233</v>
      </c>
      <c r="G20" s="16">
        <v>48233</v>
      </c>
      <c r="H20" s="13"/>
      <c r="I20" s="17"/>
      <c r="J20" s="61">
        <f>SUM(C20:I20)</f>
        <v>268835</v>
      </c>
      <c r="K20" s="10"/>
      <c r="L20" s="15"/>
    </row>
    <row r="21" spans="2:12" ht="52.5" customHeight="1" x14ac:dyDescent="0.25">
      <c r="B21" s="5" t="s">
        <v>43</v>
      </c>
      <c r="C21" s="79">
        <v>101146</v>
      </c>
      <c r="D21" s="13">
        <v>55388</v>
      </c>
      <c r="E21" s="40">
        <v>55388</v>
      </c>
      <c r="F21" s="13">
        <v>55388</v>
      </c>
      <c r="G21" s="17">
        <v>55388</v>
      </c>
      <c r="H21" s="13"/>
      <c r="I21" s="17"/>
      <c r="J21" s="61">
        <f>SUM(C21:I21)</f>
        <v>322698</v>
      </c>
      <c r="K21" s="10"/>
      <c r="L21" s="15"/>
    </row>
    <row r="22" spans="2:12" ht="45" x14ac:dyDescent="0.25">
      <c r="B22" s="5" t="s">
        <v>25</v>
      </c>
      <c r="C22" s="82">
        <v>37800</v>
      </c>
      <c r="D22" s="13">
        <v>19939</v>
      </c>
      <c r="E22" s="17">
        <v>19939</v>
      </c>
      <c r="F22" s="47">
        <v>20836</v>
      </c>
      <c r="G22" s="16">
        <v>20836</v>
      </c>
      <c r="H22" s="13">
        <v>22820</v>
      </c>
      <c r="I22" s="17">
        <v>22820</v>
      </c>
      <c r="J22" s="61">
        <f>SUM(C22:I22)</f>
        <v>164990</v>
      </c>
      <c r="K22" s="10"/>
      <c r="L22" s="15"/>
    </row>
    <row r="23" spans="2:12" ht="45" x14ac:dyDescent="0.25">
      <c r="B23" s="5" t="s">
        <v>62</v>
      </c>
      <c r="C23" s="82">
        <v>42317</v>
      </c>
      <c r="D23" s="13">
        <v>22107</v>
      </c>
      <c r="E23" s="17">
        <v>22107</v>
      </c>
      <c r="F23" s="47">
        <v>24212</v>
      </c>
      <c r="G23" s="16">
        <v>24212</v>
      </c>
      <c r="H23" s="13"/>
      <c r="I23" s="17"/>
      <c r="J23" s="61">
        <f>SUM(C23:I23)</f>
        <v>134955</v>
      </c>
      <c r="K23" s="10"/>
      <c r="L23" s="15"/>
    </row>
    <row r="24" spans="2:12" ht="45" x14ac:dyDescent="0.25">
      <c r="B24" s="5" t="s">
        <v>45</v>
      </c>
      <c r="C24" s="170">
        <v>50774</v>
      </c>
      <c r="D24" s="13">
        <v>27804</v>
      </c>
      <c r="E24" s="17">
        <v>27804</v>
      </c>
      <c r="F24" s="47">
        <v>27804</v>
      </c>
      <c r="G24" s="16">
        <v>27804</v>
      </c>
      <c r="H24" s="13"/>
      <c r="I24" s="17"/>
      <c r="J24" s="116">
        <f>SUM(C24:I24)</f>
        <v>161990</v>
      </c>
      <c r="K24" s="10"/>
      <c r="L24" s="15"/>
    </row>
    <row r="25" spans="2:12" ht="45" x14ac:dyDescent="0.25">
      <c r="B25" s="4" t="s">
        <v>37</v>
      </c>
      <c r="C25" s="103">
        <v>80812</v>
      </c>
      <c r="D25" s="171">
        <v>42224</v>
      </c>
      <c r="E25" s="172">
        <v>42224</v>
      </c>
      <c r="F25" s="13">
        <f>42224*1.0952</f>
        <v>46243.724799999996</v>
      </c>
      <c r="G25" s="40">
        <f>42224*1.0952</f>
        <v>46243.724799999996</v>
      </c>
      <c r="H25" s="13">
        <f>42224*1.0952</f>
        <v>46243.724799999996</v>
      </c>
      <c r="I25" s="45"/>
      <c r="J25" s="61">
        <f>SUM(C25:I25)+1</f>
        <v>303992.17440000002</v>
      </c>
    </row>
    <row r="26" spans="2:12" ht="45.75" thickBot="1" x14ac:dyDescent="0.3">
      <c r="B26" s="39" t="s">
        <v>46</v>
      </c>
      <c r="C26" s="108">
        <v>96974</v>
      </c>
      <c r="D26" s="110">
        <f>48487*1.0952</f>
        <v>53102.962399999997</v>
      </c>
      <c r="E26" s="109">
        <f>48487*1.0952</f>
        <v>53102.962399999997</v>
      </c>
      <c r="F26" s="43">
        <f>48487*1.0952</f>
        <v>53102.962399999997</v>
      </c>
      <c r="G26" s="44">
        <f>48487*1.0952</f>
        <v>53102.962399999997</v>
      </c>
      <c r="H26" s="43">
        <f>48487*1.0952</f>
        <v>53102.962399999997</v>
      </c>
      <c r="I26" s="44"/>
      <c r="J26" s="64">
        <f>SUM(C26:I26)</f>
        <v>362488.81199999998</v>
      </c>
    </row>
    <row r="27" spans="2:12" x14ac:dyDescent="0.25">
      <c r="B27" s="1"/>
      <c r="C27" s="1"/>
      <c r="D27" s="2"/>
      <c r="E27" s="2"/>
      <c r="F27" s="2"/>
      <c r="G27" s="2"/>
      <c r="H27" s="2"/>
      <c r="I27" s="2"/>
    </row>
    <row r="28" spans="2:12" x14ac:dyDescent="0.25">
      <c r="B28" s="1"/>
      <c r="C28" s="1"/>
      <c r="D28" s="2"/>
      <c r="E28" s="2"/>
      <c r="F28" s="2"/>
      <c r="G28" s="2"/>
      <c r="H28" s="2"/>
      <c r="I28" s="2"/>
    </row>
    <row r="29" spans="2:12" x14ac:dyDescent="0.25">
      <c r="B29" s="1"/>
      <c r="C29" s="1"/>
      <c r="D29" s="2"/>
      <c r="E29" s="2"/>
      <c r="F29" s="2"/>
      <c r="G29" s="2"/>
      <c r="H29" s="2"/>
      <c r="I29" s="2"/>
    </row>
    <row r="30" spans="2:12" x14ac:dyDescent="0.25">
      <c r="B30" s="1"/>
      <c r="C30" s="1"/>
      <c r="D30" s="2"/>
      <c r="E30" s="2"/>
      <c r="F30" s="2"/>
      <c r="G30" s="2"/>
      <c r="H30" s="2"/>
      <c r="I30" s="2"/>
    </row>
    <row r="31" spans="2:12" x14ac:dyDescent="0.25">
      <c r="B31" s="1"/>
      <c r="C31" s="1"/>
      <c r="D31" s="2"/>
      <c r="E31" s="2"/>
      <c r="F31" s="2"/>
      <c r="G31" s="2"/>
      <c r="H31" s="2"/>
      <c r="I31" s="2"/>
    </row>
    <row r="32" spans="2:12" x14ac:dyDescent="0.25">
      <c r="B32" s="1"/>
      <c r="C32" s="1"/>
      <c r="D32" s="2"/>
      <c r="E32" s="2"/>
      <c r="F32" s="2"/>
      <c r="G32" s="2"/>
      <c r="H32" s="2"/>
      <c r="I32" s="2"/>
    </row>
    <row r="33" spans="2:9" x14ac:dyDescent="0.25">
      <c r="B33" s="1"/>
      <c r="C33" s="1"/>
      <c r="D33" s="2"/>
      <c r="E33" s="2"/>
      <c r="F33" s="2"/>
      <c r="G33" s="2"/>
      <c r="H33" s="2"/>
      <c r="I33" s="2"/>
    </row>
  </sheetData>
  <mergeCells count="13">
    <mergeCell ref="H2:J2"/>
    <mergeCell ref="H3:J3"/>
    <mergeCell ref="H4:J4"/>
    <mergeCell ref="H5:J5"/>
    <mergeCell ref="H6:J6"/>
    <mergeCell ref="J12:J14"/>
    <mergeCell ref="D13:E13"/>
    <mergeCell ref="F13:G13"/>
    <mergeCell ref="H13:I13"/>
    <mergeCell ref="B9:I9"/>
    <mergeCell ref="B12:B14"/>
    <mergeCell ref="D12:I12"/>
    <mergeCell ref="B10:I10"/>
  </mergeCells>
  <phoneticPr fontId="4" type="noConversion"/>
  <pageMargins left="0" right="0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M29"/>
  <sheetViews>
    <sheetView topLeftCell="A18" zoomScaleNormal="100" zoomScaleSheetLayoutView="100" workbookViewId="0">
      <selection activeCell="B2" sqref="B2:J27"/>
    </sheetView>
  </sheetViews>
  <sheetFormatPr defaultRowHeight="15" x14ac:dyDescent="0.25"/>
  <cols>
    <col min="1" max="1" width="5" customWidth="1"/>
    <col min="2" max="2" width="53.42578125" customWidth="1"/>
    <col min="3" max="3" width="12" customWidth="1"/>
    <col min="4" max="4" width="10.7109375" customWidth="1"/>
    <col min="5" max="5" width="10.5703125" customWidth="1"/>
    <col min="6" max="6" width="10.42578125" customWidth="1"/>
    <col min="7" max="7" width="10.140625" customWidth="1"/>
    <col min="8" max="8" width="11.7109375" customWidth="1"/>
    <col min="9" max="9" width="10.85546875" customWidth="1"/>
    <col min="10" max="10" width="17.140625" customWidth="1"/>
    <col min="11" max="11" width="14.28515625" customWidth="1"/>
  </cols>
  <sheetData>
    <row r="2" spans="2:13" ht="19.5" customHeight="1" x14ac:dyDescent="0.25">
      <c r="H2" s="135" t="s">
        <v>1</v>
      </c>
      <c r="I2" s="135"/>
      <c r="J2" s="135"/>
    </row>
    <row r="3" spans="2:13" ht="19.5" customHeight="1" x14ac:dyDescent="0.25">
      <c r="H3" s="135" t="s">
        <v>22</v>
      </c>
      <c r="I3" s="135"/>
      <c r="J3" s="135"/>
    </row>
    <row r="4" spans="2:13" ht="19.5" customHeight="1" x14ac:dyDescent="0.25">
      <c r="H4" s="135" t="s">
        <v>23</v>
      </c>
      <c r="I4" s="135"/>
      <c r="J4" s="135"/>
    </row>
    <row r="5" spans="2:13" ht="19.5" customHeight="1" x14ac:dyDescent="0.25">
      <c r="H5" s="135" t="s">
        <v>20</v>
      </c>
      <c r="I5" s="135"/>
      <c r="J5" s="135"/>
    </row>
    <row r="6" spans="2:13" ht="19.5" customHeight="1" x14ac:dyDescent="0.25">
      <c r="H6" s="136" t="str">
        <f>'Осн образ переход АФ'!H6:J6</f>
        <v>"___" _____________  2025  года</v>
      </c>
      <c r="I6" s="136"/>
      <c r="J6" s="136"/>
    </row>
    <row r="7" spans="2:13" ht="19.5" customHeight="1" x14ac:dyDescent="0.25">
      <c r="H7" s="18"/>
      <c r="I7" s="18"/>
    </row>
    <row r="9" spans="2:13" ht="36.6" customHeight="1" x14ac:dyDescent="0.35">
      <c r="B9" s="125" t="str">
        <f>'Осн образ переход АФ'!B9:I9</f>
        <v>Сведения об изменении стоимости платных образовательных услуг для продолжающих обучение         в ГБПОУ "Кузбасский медицинский колледж" в 2025-2026 году</v>
      </c>
      <c r="C9" s="125"/>
      <c r="D9" s="125"/>
      <c r="E9" s="125"/>
      <c r="F9" s="125"/>
      <c r="G9" s="125"/>
      <c r="H9" s="125"/>
      <c r="I9" s="125"/>
    </row>
    <row r="10" spans="2:13" ht="36.6" customHeight="1" x14ac:dyDescent="0.25">
      <c r="B10" s="126" t="s">
        <v>18</v>
      </c>
      <c r="C10" s="126"/>
      <c r="D10" s="126"/>
      <c r="E10" s="126"/>
      <c r="F10" s="126"/>
      <c r="G10" s="126"/>
      <c r="H10" s="126"/>
      <c r="I10" s="126"/>
    </row>
    <row r="11" spans="2:13" ht="36.6" customHeight="1" thickBot="1" x14ac:dyDescent="0.4">
      <c r="B11" s="3"/>
      <c r="C11" s="3"/>
      <c r="D11" s="3"/>
      <c r="E11" s="3"/>
      <c r="F11" s="3"/>
      <c r="G11" s="3"/>
      <c r="H11" s="3"/>
      <c r="I11" s="3"/>
    </row>
    <row r="12" spans="2:13" ht="27" customHeight="1" thickBot="1" x14ac:dyDescent="0.3">
      <c r="B12" s="141" t="s">
        <v>0</v>
      </c>
      <c r="C12" s="7"/>
      <c r="D12" s="132" t="s">
        <v>15</v>
      </c>
      <c r="E12" s="132"/>
      <c r="F12" s="132"/>
      <c r="G12" s="132"/>
      <c r="H12" s="132"/>
      <c r="I12" s="132"/>
      <c r="J12" s="127" t="s">
        <v>19</v>
      </c>
      <c r="M12" s="6"/>
    </row>
    <row r="13" spans="2:13" ht="19.899999999999999" customHeight="1" thickBot="1" x14ac:dyDescent="0.3">
      <c r="B13" s="142"/>
      <c r="C13" s="8"/>
      <c r="D13" s="137" t="s">
        <v>8</v>
      </c>
      <c r="E13" s="137"/>
      <c r="F13" s="133" t="s">
        <v>9</v>
      </c>
      <c r="G13" s="134"/>
      <c r="H13" s="133" t="s">
        <v>10</v>
      </c>
      <c r="I13" s="134"/>
      <c r="J13" s="140"/>
      <c r="M13" s="6"/>
    </row>
    <row r="14" spans="2:13" ht="25.9" customHeight="1" thickBot="1" x14ac:dyDescent="0.3">
      <c r="B14" s="143"/>
      <c r="C14" s="9" t="s">
        <v>17</v>
      </c>
      <c r="D14" s="24" t="s">
        <v>2</v>
      </c>
      <c r="E14" s="23" t="s">
        <v>3</v>
      </c>
      <c r="F14" s="12" t="s">
        <v>4</v>
      </c>
      <c r="G14" s="14" t="s">
        <v>5</v>
      </c>
      <c r="H14" s="12" t="s">
        <v>6</v>
      </c>
      <c r="I14" s="14" t="s">
        <v>7</v>
      </c>
      <c r="J14" s="140"/>
      <c r="K14" s="11"/>
      <c r="L14" s="11"/>
      <c r="M14" s="6"/>
    </row>
    <row r="15" spans="2:13" ht="60.75" customHeight="1" x14ac:dyDescent="0.25">
      <c r="B15" s="34" t="s">
        <v>24</v>
      </c>
      <c r="C15" s="62">
        <v>88226</v>
      </c>
      <c r="D15" s="30">
        <v>46539</v>
      </c>
      <c r="E15" s="31">
        <v>46539</v>
      </c>
      <c r="F15" s="30">
        <v>48633</v>
      </c>
      <c r="G15" s="31">
        <v>48633</v>
      </c>
      <c r="H15" s="30">
        <f>48633*1.0952</f>
        <v>53262.861599999997</v>
      </c>
      <c r="I15" s="31">
        <f>48633*1.0952</f>
        <v>53262.861599999997</v>
      </c>
      <c r="J15" s="58">
        <f>SUM(C15:I15)</f>
        <v>385095.72320000001</v>
      </c>
      <c r="K15" s="10"/>
      <c r="L15" s="15"/>
      <c r="M15" s="6"/>
    </row>
    <row r="16" spans="2:13" ht="60.75" customHeight="1" x14ac:dyDescent="0.25">
      <c r="B16" s="34" t="s">
        <v>27</v>
      </c>
      <c r="C16" s="62">
        <v>95170</v>
      </c>
      <c r="D16" s="30">
        <v>49726</v>
      </c>
      <c r="E16" s="31">
        <v>49726</v>
      </c>
      <c r="F16" s="30">
        <f>49726*1.0952</f>
        <v>54459.915199999996</v>
      </c>
      <c r="G16" s="31">
        <f>49726*1.0952</f>
        <v>54459.915199999996</v>
      </c>
      <c r="H16" s="30"/>
      <c r="I16" s="31"/>
      <c r="J16" s="58">
        <f>SUM(C16:I16)</f>
        <v>303541.83039999998</v>
      </c>
      <c r="K16" s="10"/>
      <c r="L16" s="15"/>
      <c r="M16" s="6"/>
    </row>
    <row r="17" spans="2:13" ht="60.75" customHeight="1" x14ac:dyDescent="0.25">
      <c r="B17" s="34" t="s">
        <v>41</v>
      </c>
      <c r="C17" s="62">
        <v>114204</v>
      </c>
      <c r="D17" s="30">
        <f>57102*1.0952</f>
        <v>62538.110399999998</v>
      </c>
      <c r="E17" s="31">
        <f>57102*1.0952</f>
        <v>62538.110399999998</v>
      </c>
      <c r="F17" s="30">
        <f>57102*1.0952</f>
        <v>62538.110399999998</v>
      </c>
      <c r="G17" s="31">
        <f>57102*1.0952</f>
        <v>62538.110399999998</v>
      </c>
      <c r="H17" s="30"/>
      <c r="I17" s="31"/>
      <c r="J17" s="58">
        <f>SUM(C17:I17)</f>
        <v>364356.44160000002</v>
      </c>
      <c r="K17" s="10"/>
      <c r="L17" s="15"/>
      <c r="M17" s="6"/>
    </row>
    <row r="18" spans="2:13" ht="60.75" customHeight="1" x14ac:dyDescent="0.25">
      <c r="B18" s="36" t="s">
        <v>42</v>
      </c>
      <c r="C18" s="62">
        <v>80780</v>
      </c>
      <c r="D18" s="30">
        <f>40390*1.0952</f>
        <v>44235.127999999997</v>
      </c>
      <c r="E18" s="31">
        <f>40390*1.0952</f>
        <v>44235.127999999997</v>
      </c>
      <c r="F18" s="30"/>
      <c r="G18" s="31"/>
      <c r="H18" s="30"/>
      <c r="I18" s="31"/>
      <c r="J18" s="58">
        <f>SUM(C18:I18)</f>
        <v>169250.25599999999</v>
      </c>
      <c r="K18" s="10"/>
      <c r="L18" s="15"/>
      <c r="M18" s="6"/>
    </row>
    <row r="19" spans="2:13" ht="52.5" customHeight="1" x14ac:dyDescent="0.25">
      <c r="B19" s="36" t="s">
        <v>29</v>
      </c>
      <c r="C19" s="62">
        <v>97783</v>
      </c>
      <c r="D19" s="30">
        <v>51089</v>
      </c>
      <c r="E19" s="31">
        <v>51089</v>
      </c>
      <c r="F19" s="30">
        <f>51089*1.0952</f>
        <v>55952.6728</v>
      </c>
      <c r="G19" s="31">
        <f>51089*1.0952</f>
        <v>55952.6728</v>
      </c>
      <c r="H19" s="30"/>
      <c r="I19" s="31"/>
      <c r="J19" s="65">
        <f>SUM(C19:I19)+1</f>
        <v>311867.3456</v>
      </c>
      <c r="K19" s="10"/>
      <c r="L19" s="15"/>
      <c r="M19" s="6"/>
    </row>
    <row r="20" spans="2:13" ht="52.5" customHeight="1" x14ac:dyDescent="0.25">
      <c r="B20" s="36" t="s">
        <v>43</v>
      </c>
      <c r="C20" s="62">
        <v>117336</v>
      </c>
      <c r="D20" s="30">
        <f>58668*1.0952</f>
        <v>64253.193599999999</v>
      </c>
      <c r="E20" s="31">
        <f>58668*1.0952</f>
        <v>64253.193599999999</v>
      </c>
      <c r="F20" s="30">
        <f>58668*1.0952</f>
        <v>64253.193599999999</v>
      </c>
      <c r="G20" s="31">
        <f>58668*1.0952</f>
        <v>64253.193599999999</v>
      </c>
      <c r="H20" s="30"/>
      <c r="I20" s="31"/>
      <c r="J20" s="65">
        <f>SUM(C20:I20)-1</f>
        <v>374347.77439999999</v>
      </c>
      <c r="K20" s="10"/>
      <c r="L20" s="15"/>
      <c r="M20" s="6"/>
    </row>
    <row r="21" spans="2:13" ht="52.5" customHeight="1" x14ac:dyDescent="0.25">
      <c r="B21" s="36" t="s">
        <v>48</v>
      </c>
      <c r="C21" s="62">
        <v>117334</v>
      </c>
      <c r="D21" s="30">
        <f>58667*1.0952</f>
        <v>64252.098399999995</v>
      </c>
      <c r="E21" s="31">
        <f>58667*1.0952</f>
        <v>64252.098399999995</v>
      </c>
      <c r="F21" s="30"/>
      <c r="G21" s="31"/>
      <c r="H21" s="30"/>
      <c r="I21" s="31"/>
      <c r="J21" s="65">
        <f>SUM(C21:I21)</f>
        <v>245838.19679999998</v>
      </c>
      <c r="K21" s="10"/>
      <c r="L21" s="15"/>
      <c r="M21" s="6"/>
    </row>
    <row r="22" spans="2:13" ht="45" x14ac:dyDescent="0.25">
      <c r="B22" s="36" t="s">
        <v>25</v>
      </c>
      <c r="C22" s="59">
        <v>41400</v>
      </c>
      <c r="D22" s="32">
        <v>21837</v>
      </c>
      <c r="E22" s="33">
        <v>21837</v>
      </c>
      <c r="F22" s="32">
        <v>22820</v>
      </c>
      <c r="G22" s="33">
        <v>22820</v>
      </c>
      <c r="H22" s="32">
        <f>22820*1.0952</f>
        <v>24992.464</v>
      </c>
      <c r="I22" s="33">
        <f>22820*1.0952</f>
        <v>24992.464</v>
      </c>
      <c r="J22" s="65">
        <f>SUM(C22:I22)-1</f>
        <v>180697.92800000001</v>
      </c>
      <c r="K22" s="10"/>
      <c r="L22" s="15"/>
      <c r="M22" s="6"/>
    </row>
    <row r="23" spans="2:13" ht="45" x14ac:dyDescent="0.25">
      <c r="B23" s="36" t="s">
        <v>30</v>
      </c>
      <c r="C23" s="62">
        <v>46346</v>
      </c>
      <c r="D23" s="30">
        <v>24213</v>
      </c>
      <c r="E23" s="31">
        <v>24213</v>
      </c>
      <c r="F23" s="30">
        <f>24213*1.0952</f>
        <v>26518.077600000001</v>
      </c>
      <c r="G23" s="31">
        <f>24213*1.0952</f>
        <v>26518.077600000001</v>
      </c>
      <c r="H23" s="30"/>
      <c r="I23" s="31"/>
      <c r="J23" s="65">
        <f>SUM(C23:I23)</f>
        <v>147808.15520000001</v>
      </c>
      <c r="K23" s="10"/>
      <c r="L23" s="15"/>
      <c r="M23" s="6"/>
    </row>
    <row r="24" spans="2:13" ht="45" x14ac:dyDescent="0.25">
      <c r="B24" s="36" t="s">
        <v>45</v>
      </c>
      <c r="C24" s="59">
        <v>55610</v>
      </c>
      <c r="D24" s="32">
        <f>27805*1.0952</f>
        <v>30452.036</v>
      </c>
      <c r="E24" s="33">
        <f>27805*1.0952</f>
        <v>30452.036</v>
      </c>
      <c r="F24" s="32">
        <f>27805*1.0952</f>
        <v>30452.036</v>
      </c>
      <c r="G24" s="33">
        <f>27805*1.0952</f>
        <v>30452.036</v>
      </c>
      <c r="H24" s="32"/>
      <c r="I24" s="33"/>
      <c r="J24" s="65">
        <f>SUM(C24:I24)</f>
        <v>177418.14399999997</v>
      </c>
      <c r="K24" s="10"/>
      <c r="L24" s="15"/>
      <c r="M24" s="6"/>
    </row>
    <row r="25" spans="2:13" ht="45" x14ac:dyDescent="0.25">
      <c r="B25" s="36" t="s">
        <v>31</v>
      </c>
      <c r="C25" s="103">
        <v>57089</v>
      </c>
      <c r="D25" s="106">
        <v>29826</v>
      </c>
      <c r="E25" s="105">
        <v>29826</v>
      </c>
      <c r="F25" s="106">
        <f>29826*1.0952</f>
        <v>32665.4352</v>
      </c>
      <c r="G25" s="105">
        <f>29826*1.0952</f>
        <v>32665.4352</v>
      </c>
      <c r="H25" s="56"/>
      <c r="I25" s="57"/>
      <c r="J25" s="58">
        <f>SUM(C25:I25)-1</f>
        <v>182070.87040000001</v>
      </c>
      <c r="K25" s="10"/>
      <c r="L25" s="15"/>
      <c r="M25" s="6"/>
    </row>
    <row r="26" spans="2:13" ht="45" x14ac:dyDescent="0.25">
      <c r="B26" s="36" t="s">
        <v>49</v>
      </c>
      <c r="C26" s="173">
        <v>68504</v>
      </c>
      <c r="D26" s="174">
        <f>34251*1.0952</f>
        <v>37511.695200000002</v>
      </c>
      <c r="E26" s="175">
        <f>34251*1.0952</f>
        <v>37511.695200000002</v>
      </c>
      <c r="F26" s="174">
        <f>34251*1.0952</f>
        <v>37511.695200000002</v>
      </c>
      <c r="G26" s="175">
        <f>34251*1.0952</f>
        <v>37511.695200000002</v>
      </c>
      <c r="H26" s="85"/>
      <c r="I26" s="86"/>
      <c r="J26" s="58">
        <f>SUM(C26:I26)+1</f>
        <v>218551.78080000001</v>
      </c>
      <c r="K26" s="10"/>
      <c r="L26" s="15"/>
      <c r="M26" s="6"/>
    </row>
    <row r="27" spans="2:13" ht="45.75" thickBot="1" x14ac:dyDescent="0.3">
      <c r="B27" s="92" t="s">
        <v>50</v>
      </c>
      <c r="C27" s="100">
        <v>38044</v>
      </c>
      <c r="D27" s="41">
        <f>19021*1.0952</f>
        <v>20831.799199999998</v>
      </c>
      <c r="E27" s="42">
        <f>19021*1.0952</f>
        <v>20831.799199999998</v>
      </c>
      <c r="F27" s="41"/>
      <c r="G27" s="101"/>
      <c r="H27" s="102"/>
      <c r="I27" s="101"/>
      <c r="J27" s="98">
        <f t="shared" ref="J27" si="0">SUM(C27:I27)</f>
        <v>79707.598399999988</v>
      </c>
      <c r="M27" s="6"/>
    </row>
    <row r="28" spans="2:13" x14ac:dyDescent="0.25">
      <c r="B28" s="1"/>
      <c r="C28" s="1"/>
      <c r="D28" s="2"/>
      <c r="E28" s="2"/>
      <c r="F28" s="2"/>
      <c r="G28" s="2"/>
      <c r="H28" s="2"/>
      <c r="I28" s="2"/>
      <c r="M28" s="6"/>
    </row>
    <row r="29" spans="2:13" x14ac:dyDescent="0.25">
      <c r="B29" s="1"/>
      <c r="C29" s="1"/>
      <c r="D29" s="2"/>
      <c r="E29" s="2"/>
      <c r="F29" s="2"/>
      <c r="G29" s="2"/>
      <c r="H29" s="2"/>
      <c r="I29" s="2"/>
    </row>
  </sheetData>
  <mergeCells count="13">
    <mergeCell ref="H2:J2"/>
    <mergeCell ref="H3:J3"/>
    <mergeCell ref="H4:J4"/>
    <mergeCell ref="H5:J5"/>
    <mergeCell ref="H6:J6"/>
    <mergeCell ref="J12:J14"/>
    <mergeCell ref="D13:E13"/>
    <mergeCell ref="F13:G13"/>
    <mergeCell ref="H13:I13"/>
    <mergeCell ref="B9:I9"/>
    <mergeCell ref="B12:B14"/>
    <mergeCell ref="D12:I12"/>
    <mergeCell ref="B10:I10"/>
  </mergeCells>
  <phoneticPr fontId="4" type="noConversion"/>
  <pageMargins left="0" right="0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K40"/>
  <sheetViews>
    <sheetView topLeftCell="A30" zoomScaleNormal="100" zoomScaleSheetLayoutView="90" workbookViewId="0">
      <selection activeCell="B2" sqref="B2:J40"/>
    </sheetView>
  </sheetViews>
  <sheetFormatPr defaultRowHeight="15" x14ac:dyDescent="0.25"/>
  <cols>
    <col min="1" max="1" width="12.85546875" customWidth="1"/>
    <col min="2" max="2" width="53.42578125" customWidth="1"/>
    <col min="3" max="3" width="12" customWidth="1"/>
    <col min="4" max="4" width="10.7109375" customWidth="1"/>
    <col min="5" max="5" width="10.5703125" customWidth="1"/>
    <col min="6" max="6" width="10.42578125" customWidth="1"/>
    <col min="7" max="7" width="10.140625" customWidth="1"/>
    <col min="8" max="8" width="11.7109375" customWidth="1"/>
    <col min="9" max="9" width="10.85546875" customWidth="1"/>
    <col min="10" max="10" width="17.140625" customWidth="1"/>
  </cols>
  <sheetData>
    <row r="2" spans="2:10" ht="19.5" customHeight="1" x14ac:dyDescent="0.25">
      <c r="H2" s="135" t="s">
        <v>1</v>
      </c>
      <c r="I2" s="135"/>
      <c r="J2" s="135"/>
    </row>
    <row r="3" spans="2:10" ht="19.5" customHeight="1" x14ac:dyDescent="0.25">
      <c r="H3" s="135" t="s">
        <v>22</v>
      </c>
      <c r="I3" s="135"/>
      <c r="J3" s="135"/>
    </row>
    <row r="4" spans="2:10" ht="19.5" customHeight="1" x14ac:dyDescent="0.25">
      <c r="H4" s="135" t="s">
        <v>23</v>
      </c>
      <c r="I4" s="135"/>
      <c r="J4" s="135"/>
    </row>
    <row r="5" spans="2:10" ht="19.5" customHeight="1" x14ac:dyDescent="0.25">
      <c r="H5" s="135" t="s">
        <v>20</v>
      </c>
      <c r="I5" s="135"/>
      <c r="J5" s="135"/>
    </row>
    <row r="6" spans="2:10" ht="19.5" customHeight="1" x14ac:dyDescent="0.25">
      <c r="H6" s="136" t="str">
        <f>'Осн образ переход АФ'!H6:J6</f>
        <v>"___" _____________  2025  года</v>
      </c>
      <c r="I6" s="136"/>
      <c r="J6" s="136"/>
    </row>
    <row r="7" spans="2:10" ht="19.5" customHeight="1" x14ac:dyDescent="0.25">
      <c r="H7" s="18"/>
      <c r="I7" s="18"/>
    </row>
    <row r="9" spans="2:10" ht="36.6" customHeight="1" x14ac:dyDescent="0.35">
      <c r="B9" s="125" t="str">
        <f>'Осн образ переход АФ'!B9:I9</f>
        <v>Сведения об изменении стоимости платных образовательных услуг для продолжающих обучение         в ГБПОУ "Кузбасский медицинский колледж" в 2025-2026 году</v>
      </c>
      <c r="C9" s="125"/>
      <c r="D9" s="125"/>
      <c r="E9" s="125"/>
      <c r="F9" s="125"/>
      <c r="G9" s="125"/>
      <c r="H9" s="125"/>
      <c r="I9" s="125"/>
    </row>
    <row r="10" spans="2:10" ht="36.6" customHeight="1" x14ac:dyDescent="0.25">
      <c r="B10" s="126" t="s">
        <v>18</v>
      </c>
      <c r="C10" s="126"/>
      <c r="D10" s="126"/>
      <c r="E10" s="126"/>
      <c r="F10" s="126"/>
      <c r="G10" s="126"/>
      <c r="H10" s="126"/>
      <c r="I10" s="126"/>
    </row>
    <row r="11" spans="2:10" ht="26.45" customHeight="1" thickBot="1" x14ac:dyDescent="0.4">
      <c r="B11" s="3"/>
      <c r="C11" s="3"/>
      <c r="D11" s="3"/>
      <c r="E11" s="3"/>
      <c r="F11" s="3"/>
      <c r="G11" s="3"/>
      <c r="H11" s="3"/>
      <c r="I11" s="3"/>
    </row>
    <row r="12" spans="2:10" ht="27" customHeight="1" thickBot="1" x14ac:dyDescent="0.3">
      <c r="B12" s="149" t="s">
        <v>0</v>
      </c>
      <c r="C12" s="93"/>
      <c r="D12" s="152" t="s">
        <v>16</v>
      </c>
      <c r="E12" s="153"/>
      <c r="F12" s="153"/>
      <c r="G12" s="153"/>
      <c r="H12" s="153"/>
      <c r="I12" s="154"/>
      <c r="J12" s="144" t="s">
        <v>19</v>
      </c>
    </row>
    <row r="13" spans="2:10" ht="19.899999999999999" customHeight="1" thickBot="1" x14ac:dyDescent="0.3">
      <c r="B13" s="150"/>
      <c r="C13" s="94"/>
      <c r="D13" s="138" t="s">
        <v>8</v>
      </c>
      <c r="E13" s="147"/>
      <c r="F13" s="148" t="s">
        <v>9</v>
      </c>
      <c r="G13" s="147"/>
      <c r="H13" s="148" t="s">
        <v>10</v>
      </c>
      <c r="I13" s="139"/>
      <c r="J13" s="145"/>
    </row>
    <row r="14" spans="2:10" ht="25.9" customHeight="1" thickBot="1" x14ac:dyDescent="0.3">
      <c r="B14" s="151"/>
      <c r="C14" s="95" t="s">
        <v>17</v>
      </c>
      <c r="D14" s="24" t="s">
        <v>2</v>
      </c>
      <c r="E14" s="73" t="s">
        <v>3</v>
      </c>
      <c r="F14" s="90" t="s">
        <v>4</v>
      </c>
      <c r="G14" s="91" t="s">
        <v>5</v>
      </c>
      <c r="H14" s="90" t="s">
        <v>6</v>
      </c>
      <c r="I14" s="87" t="s">
        <v>7</v>
      </c>
      <c r="J14" s="146"/>
    </row>
    <row r="15" spans="2:10" ht="60.75" customHeight="1" x14ac:dyDescent="0.25">
      <c r="B15" s="36" t="s">
        <v>26</v>
      </c>
      <c r="C15" s="59">
        <v>88226</v>
      </c>
      <c r="D15" s="35">
        <v>46539</v>
      </c>
      <c r="E15" s="37">
        <v>46539</v>
      </c>
      <c r="F15" s="32">
        <v>48633</v>
      </c>
      <c r="G15" s="37">
        <v>48633</v>
      </c>
      <c r="H15" s="32">
        <v>53263</v>
      </c>
      <c r="I15" s="78">
        <v>53263</v>
      </c>
      <c r="J15" s="58">
        <f>SUM(C15:I15)</f>
        <v>385096</v>
      </c>
    </row>
    <row r="16" spans="2:10" ht="60.75" customHeight="1" x14ac:dyDescent="0.25">
      <c r="B16" s="36" t="s">
        <v>32</v>
      </c>
      <c r="C16" s="59">
        <v>98760</v>
      </c>
      <c r="D16" s="35">
        <v>49726</v>
      </c>
      <c r="E16" s="37">
        <v>49726</v>
      </c>
      <c r="F16" s="32">
        <v>54460</v>
      </c>
      <c r="G16" s="37">
        <v>54460</v>
      </c>
      <c r="H16" s="32"/>
      <c r="I16" s="78"/>
      <c r="J16" s="58">
        <f>SUM(C16:I16)</f>
        <v>307132</v>
      </c>
    </row>
    <row r="17" spans="2:11" ht="60.75" customHeight="1" x14ac:dyDescent="0.25">
      <c r="B17" s="36" t="s">
        <v>51</v>
      </c>
      <c r="C17" s="59">
        <v>114204</v>
      </c>
      <c r="D17" s="35">
        <v>62538</v>
      </c>
      <c r="E17" s="37">
        <v>62538</v>
      </c>
      <c r="F17" s="32">
        <v>62538</v>
      </c>
      <c r="G17" s="37">
        <v>62538</v>
      </c>
      <c r="H17" s="32"/>
      <c r="I17" s="78"/>
      <c r="J17" s="58">
        <f>SUM(C17:I17)</f>
        <v>364356</v>
      </c>
    </row>
    <row r="18" spans="2:11" ht="60.75" customHeight="1" x14ac:dyDescent="0.25">
      <c r="B18" s="36" t="s">
        <v>36</v>
      </c>
      <c r="C18" s="59">
        <v>91887</v>
      </c>
      <c r="D18" s="35">
        <v>48010</v>
      </c>
      <c r="E18" s="37">
        <v>48010</v>
      </c>
      <c r="F18" s="32">
        <f>48010*1.0952</f>
        <v>52580.551999999996</v>
      </c>
      <c r="G18" s="37">
        <f>48010*1.0952</f>
        <v>52580.551999999996</v>
      </c>
      <c r="H18" s="32">
        <f>48010*1.0952</f>
        <v>52580.551999999996</v>
      </c>
      <c r="I18" s="78">
        <f>48010*1.0952</f>
        <v>52580.551999999996</v>
      </c>
      <c r="J18" s="58">
        <f>SUM(C18:I18)+2</f>
        <v>398231.20799999998</v>
      </c>
    </row>
    <row r="19" spans="2:11" ht="60.75" customHeight="1" x14ac:dyDescent="0.25">
      <c r="B19" s="36" t="s">
        <v>52</v>
      </c>
      <c r="C19" s="59">
        <v>110264</v>
      </c>
      <c r="D19" s="35">
        <f>55132*1.0952</f>
        <v>60380.566399999996</v>
      </c>
      <c r="E19" s="37">
        <f>55132*1.0952</f>
        <v>60380.566399999996</v>
      </c>
      <c r="F19" s="32">
        <f>55132*1.0952</f>
        <v>60380.566399999996</v>
      </c>
      <c r="G19" s="37">
        <f>55132*1.0952</f>
        <v>60380.566399999996</v>
      </c>
      <c r="H19" s="32">
        <f>55132*1.0952</f>
        <v>60380.566399999996</v>
      </c>
      <c r="I19" s="78">
        <f>55132*1.0952</f>
        <v>60380.566399999996</v>
      </c>
      <c r="J19" s="58">
        <f>SUM(C19:I19)+3</f>
        <v>472550.39840000006</v>
      </c>
    </row>
    <row r="20" spans="2:11" ht="60.75" customHeight="1" x14ac:dyDescent="0.25">
      <c r="B20" s="36" t="s">
        <v>42</v>
      </c>
      <c r="C20" s="59">
        <v>80780</v>
      </c>
      <c r="D20" s="35">
        <f>40390*1.0952</f>
        <v>44235.127999999997</v>
      </c>
      <c r="E20" s="37">
        <f>40390*1.0952</f>
        <v>44235.127999999997</v>
      </c>
      <c r="F20" s="29"/>
      <c r="G20" s="38"/>
      <c r="H20" s="29"/>
      <c r="I20" s="88"/>
      <c r="J20" s="58">
        <f t="shared" ref="J20:J38" si="0">SUM(C20:I20)</f>
        <v>169250.25599999999</v>
      </c>
    </row>
    <row r="21" spans="2:11" ht="52.5" customHeight="1" x14ac:dyDescent="0.25">
      <c r="B21" s="36" t="s">
        <v>29</v>
      </c>
      <c r="C21" s="59">
        <v>97783</v>
      </c>
      <c r="D21" s="35">
        <v>51089</v>
      </c>
      <c r="E21" s="37">
        <v>51089</v>
      </c>
      <c r="F21" s="32">
        <f>51089*1.0952</f>
        <v>55952.6728</v>
      </c>
      <c r="G21" s="37">
        <f>51089*1.0952</f>
        <v>55952.6728</v>
      </c>
      <c r="H21" s="32"/>
      <c r="I21" s="78"/>
      <c r="J21" s="58">
        <f>SUM(C21:I21)</f>
        <v>311866.3456</v>
      </c>
    </row>
    <row r="22" spans="2:11" ht="52.5" customHeight="1" x14ac:dyDescent="0.25">
      <c r="B22" s="36" t="s">
        <v>43</v>
      </c>
      <c r="C22" s="59">
        <v>117336</v>
      </c>
      <c r="D22" s="35">
        <f>58668*1.0952</f>
        <v>64253.193599999999</v>
      </c>
      <c r="E22" s="37">
        <f>58668*1.0952</f>
        <v>64253.193599999999</v>
      </c>
      <c r="F22" s="32">
        <f>58668*1.0952</f>
        <v>64253.193599999999</v>
      </c>
      <c r="G22" s="37">
        <f>58668*1.0952</f>
        <v>64253.193599999999</v>
      </c>
      <c r="H22" s="32"/>
      <c r="I22" s="78"/>
      <c r="J22" s="58">
        <f>SUM(C22:I22)</f>
        <v>374348.77439999999</v>
      </c>
    </row>
    <row r="23" spans="2:11" ht="52.5" customHeight="1" x14ac:dyDescent="0.25">
      <c r="B23" s="36" t="s">
        <v>53</v>
      </c>
      <c r="C23" s="59">
        <v>117334</v>
      </c>
      <c r="D23" s="35">
        <f>58667*1.0952</f>
        <v>64252.098399999995</v>
      </c>
      <c r="E23" s="37">
        <f>58667*1.0952</f>
        <v>64252.098399999995</v>
      </c>
      <c r="F23" s="32"/>
      <c r="G23" s="37"/>
      <c r="H23" s="32"/>
      <c r="I23" s="78"/>
      <c r="J23" s="58">
        <f>SUM(C23:I23)</f>
        <v>245838.19679999998</v>
      </c>
    </row>
    <row r="24" spans="2:11" ht="45" x14ac:dyDescent="0.25">
      <c r="B24" s="36" t="s">
        <v>25</v>
      </c>
      <c r="C24" s="59">
        <v>41400</v>
      </c>
      <c r="D24" s="35">
        <v>21837</v>
      </c>
      <c r="E24" s="37">
        <v>21837</v>
      </c>
      <c r="F24" s="32">
        <v>22820</v>
      </c>
      <c r="G24" s="37">
        <v>22820</v>
      </c>
      <c r="H24" s="32">
        <f>22820*1.0952</f>
        <v>24992.464</v>
      </c>
      <c r="I24" s="78">
        <f>22820*1.0952</f>
        <v>24992.464</v>
      </c>
      <c r="J24" s="58">
        <f>SUM(C24:I24)</f>
        <v>180698.92800000001</v>
      </c>
    </row>
    <row r="25" spans="2:11" ht="45" x14ac:dyDescent="0.25">
      <c r="B25" s="36" t="s">
        <v>30</v>
      </c>
      <c r="C25" s="59">
        <v>46346</v>
      </c>
      <c r="D25" s="35">
        <v>24213</v>
      </c>
      <c r="E25" s="37">
        <v>24213</v>
      </c>
      <c r="F25" s="32">
        <f>24213*1.0952</f>
        <v>26518.077600000001</v>
      </c>
      <c r="G25" s="37">
        <f>24213*1.0952</f>
        <v>26518.077600000001</v>
      </c>
      <c r="H25" s="32"/>
      <c r="I25" s="78"/>
      <c r="J25" s="58">
        <f t="shared" ref="J25:J28" si="1">SUM(C25:I25)</f>
        <v>147808.15520000001</v>
      </c>
    </row>
    <row r="26" spans="2:11" ht="45" x14ac:dyDescent="0.25">
      <c r="B26" s="36" t="s">
        <v>45</v>
      </c>
      <c r="C26" s="59">
        <v>55610</v>
      </c>
      <c r="D26" s="35">
        <f>27805*1.0952</f>
        <v>30452.036</v>
      </c>
      <c r="E26" s="37">
        <f>27805*1.0952</f>
        <v>30452.036</v>
      </c>
      <c r="F26" s="32">
        <f>27805*1.0952</f>
        <v>30452.036</v>
      </c>
      <c r="G26" s="37">
        <f>27805*1.0952</f>
        <v>30452.036</v>
      </c>
      <c r="H26" s="32"/>
      <c r="I26" s="78"/>
      <c r="J26" s="58">
        <f t="shared" si="1"/>
        <v>177418.14399999997</v>
      </c>
    </row>
    <row r="27" spans="2:11" ht="45" x14ac:dyDescent="0.25">
      <c r="B27" s="36" t="s">
        <v>33</v>
      </c>
      <c r="C27" s="59">
        <v>46346</v>
      </c>
      <c r="D27" s="35">
        <v>24213</v>
      </c>
      <c r="E27" s="37">
        <v>24213</v>
      </c>
      <c r="F27" s="32">
        <f>24213*1.0952</f>
        <v>26518.077600000001</v>
      </c>
      <c r="G27" s="37">
        <f>24213*1.0952</f>
        <v>26518.077600000001</v>
      </c>
      <c r="H27" s="32">
        <f>24213*1.0952</f>
        <v>26518.077600000001</v>
      </c>
      <c r="I27" s="78">
        <f>24213*1.0952</f>
        <v>26518.077600000001</v>
      </c>
      <c r="J27" s="58">
        <f t="shared" si="1"/>
        <v>200844.31039999999</v>
      </c>
      <c r="K27" s="6"/>
    </row>
    <row r="28" spans="2:11" ht="45" x14ac:dyDescent="0.25">
      <c r="B28" s="36" t="s">
        <v>54</v>
      </c>
      <c r="C28" s="59">
        <f>55610</f>
        <v>55610</v>
      </c>
      <c r="D28" s="35">
        <f>27805*1.0952</f>
        <v>30452.036</v>
      </c>
      <c r="E28" s="37">
        <f>27805*1.0952</f>
        <v>30452.036</v>
      </c>
      <c r="F28" s="32">
        <f>27805*1.0952</f>
        <v>30452.036</v>
      </c>
      <c r="G28" s="37">
        <f>27805*1.0952</f>
        <v>30452.036</v>
      </c>
      <c r="H28" s="32">
        <f>27805*1.0952</f>
        <v>30452.036</v>
      </c>
      <c r="I28" s="78">
        <f>27805*1.0952</f>
        <v>30452.036</v>
      </c>
      <c r="J28" s="58">
        <f t="shared" si="1"/>
        <v>238322.21599999996</v>
      </c>
      <c r="K28" s="6"/>
    </row>
    <row r="29" spans="2:11" ht="45" x14ac:dyDescent="0.25">
      <c r="B29" s="36" t="s">
        <v>34</v>
      </c>
      <c r="C29" s="59">
        <v>90099</v>
      </c>
      <c r="D29" s="35">
        <v>47073</v>
      </c>
      <c r="E29" s="37">
        <v>47073</v>
      </c>
      <c r="F29" s="32">
        <f>47073*1.0952</f>
        <v>51554.349599999994</v>
      </c>
      <c r="G29" s="37">
        <f>47073*1.0952</f>
        <v>51554.349599999994</v>
      </c>
      <c r="H29" s="32"/>
      <c r="I29" s="78"/>
      <c r="J29" s="58">
        <f>SUM(C29:I29)-1</f>
        <v>287352.69919999997</v>
      </c>
      <c r="K29" s="6"/>
    </row>
    <row r="30" spans="2:11" ht="45" x14ac:dyDescent="0.25">
      <c r="B30" s="36" t="s">
        <v>55</v>
      </c>
      <c r="C30" s="59">
        <v>108114</v>
      </c>
      <c r="D30" s="35">
        <f>54057*1.0952</f>
        <v>59203.2264</v>
      </c>
      <c r="E30" s="37">
        <f>54057*1.0952</f>
        <v>59203.2264</v>
      </c>
      <c r="F30" s="32">
        <f>54057*1.0952</f>
        <v>59203.2264</v>
      </c>
      <c r="G30" s="37">
        <f>54057*1.0952</f>
        <v>59203.2264</v>
      </c>
      <c r="H30" s="32"/>
      <c r="I30" s="78"/>
      <c r="J30" s="58">
        <f>SUM(C30:I30)-1</f>
        <v>344925.90559999994</v>
      </c>
      <c r="K30" s="6"/>
    </row>
    <row r="31" spans="2:11" ht="45" x14ac:dyDescent="0.25">
      <c r="B31" s="36" t="s">
        <v>56</v>
      </c>
      <c r="C31" s="59">
        <v>112316</v>
      </c>
      <c r="D31" s="35">
        <f>56158*1.0952</f>
        <v>61504.241599999994</v>
      </c>
      <c r="E31" s="37">
        <f>56158*1.0952</f>
        <v>61504.241599999994</v>
      </c>
      <c r="F31" s="32"/>
      <c r="G31" s="37"/>
      <c r="H31" s="32"/>
      <c r="I31" s="78"/>
      <c r="J31" s="58">
        <f>SUM(C31:I31)</f>
        <v>235324.48320000002</v>
      </c>
      <c r="K31" s="6"/>
    </row>
    <row r="32" spans="2:11" ht="45" x14ac:dyDescent="0.25">
      <c r="B32" s="36" t="s">
        <v>38</v>
      </c>
      <c r="C32" s="59">
        <v>88508</v>
      </c>
      <c r="D32" s="35">
        <v>46245</v>
      </c>
      <c r="E32" s="37">
        <v>46245</v>
      </c>
      <c r="F32" s="32">
        <f>46245*1.0952</f>
        <v>50647.523999999998</v>
      </c>
      <c r="G32" s="37">
        <f>46245*1.0952</f>
        <v>50647.523999999998</v>
      </c>
      <c r="H32" s="32">
        <f>46245*1.0952</f>
        <v>50647.523999999998</v>
      </c>
      <c r="I32" s="78"/>
      <c r="J32" s="58">
        <f>SUM(C32:I32)+1</f>
        <v>332941.57199999999</v>
      </c>
      <c r="K32" s="50"/>
    </row>
    <row r="33" spans="2:11" ht="45" x14ac:dyDescent="0.25">
      <c r="B33" s="36" t="s">
        <v>57</v>
      </c>
      <c r="C33" s="59">
        <v>106210</v>
      </c>
      <c r="D33" s="35">
        <f>53105*1.0952</f>
        <v>58160.595999999998</v>
      </c>
      <c r="E33" s="37">
        <f>53105*1.0952</f>
        <v>58160.595999999998</v>
      </c>
      <c r="F33" s="32">
        <f>53105*1.0952</f>
        <v>58160.595999999998</v>
      </c>
      <c r="G33" s="37">
        <f>53105*1.0952</f>
        <v>58160.595999999998</v>
      </c>
      <c r="H33" s="32">
        <f>53105*1.0952</f>
        <v>58160.595999999998</v>
      </c>
      <c r="I33" s="78"/>
      <c r="J33" s="58">
        <f>SUM(C33:I33)+2</f>
        <v>397014.98000000004</v>
      </c>
      <c r="K33" s="50"/>
    </row>
    <row r="34" spans="2:11" ht="45" x14ac:dyDescent="0.25">
      <c r="B34" s="36" t="s">
        <v>58</v>
      </c>
      <c r="C34" s="59">
        <v>124024</v>
      </c>
      <c r="D34" s="35">
        <f>62011*1.0952</f>
        <v>67914.447199999995</v>
      </c>
      <c r="E34" s="37">
        <f>62011*1.0952</f>
        <v>67914.447199999995</v>
      </c>
      <c r="F34" s="32"/>
      <c r="G34" s="37"/>
      <c r="H34" s="32"/>
      <c r="I34" s="78"/>
      <c r="J34" s="58">
        <f>SUM(C34:I34)-1</f>
        <v>259851.89439999999</v>
      </c>
      <c r="K34" s="50"/>
    </row>
    <row r="35" spans="2:11" ht="45" x14ac:dyDescent="0.25">
      <c r="B35" s="36" t="s">
        <v>59</v>
      </c>
      <c r="C35" s="59">
        <v>114978</v>
      </c>
      <c r="D35" s="35">
        <f>68986*1.0952</f>
        <v>75553.467199999999</v>
      </c>
      <c r="E35" s="37">
        <f>68986*1.0952</f>
        <v>75553.467199999999</v>
      </c>
      <c r="F35" s="32"/>
      <c r="G35" s="37"/>
      <c r="H35" s="67"/>
      <c r="I35" s="96"/>
      <c r="J35" s="58">
        <f>SUM(C35:I35)-1</f>
        <v>266083.93440000003</v>
      </c>
      <c r="K35" s="50"/>
    </row>
    <row r="36" spans="2:11" ht="45" x14ac:dyDescent="0.25">
      <c r="B36" s="36" t="s">
        <v>35</v>
      </c>
      <c r="C36" s="59">
        <v>84557</v>
      </c>
      <c r="D36" s="35">
        <v>44179</v>
      </c>
      <c r="E36" s="37">
        <v>44179</v>
      </c>
      <c r="F36" s="32">
        <f>44179*1.0952</f>
        <v>48384.840799999998</v>
      </c>
      <c r="G36" s="37">
        <f>44179*1.0952</f>
        <v>48384.840799999998</v>
      </c>
      <c r="H36" s="68"/>
      <c r="I36" s="97"/>
      <c r="J36" s="58">
        <f t="shared" si="0"/>
        <v>269684.68160000001</v>
      </c>
      <c r="K36" s="50"/>
    </row>
    <row r="37" spans="2:11" ht="45" x14ac:dyDescent="0.25">
      <c r="B37" s="36" t="s">
        <v>60</v>
      </c>
      <c r="C37" s="59">
        <v>101466</v>
      </c>
      <c r="D37" s="35">
        <f>50733*1.0952</f>
        <v>55562.781599999995</v>
      </c>
      <c r="E37" s="37">
        <f>50733*1.0952</f>
        <v>55562.781599999995</v>
      </c>
      <c r="F37" s="32">
        <f>50733*1.0952</f>
        <v>55562.781599999995</v>
      </c>
      <c r="G37" s="37">
        <f>50733*1.0952</f>
        <v>55562.781599999995</v>
      </c>
      <c r="H37" s="68"/>
      <c r="I37" s="97"/>
      <c r="J37" s="58">
        <f>SUM(C37:I37)+1</f>
        <v>323718.12639999995</v>
      </c>
      <c r="K37" s="50"/>
    </row>
    <row r="38" spans="2:11" ht="45" x14ac:dyDescent="0.25">
      <c r="B38" s="36" t="s">
        <v>61</v>
      </c>
      <c r="C38" s="59">
        <v>38044</v>
      </c>
      <c r="D38" s="35">
        <f>19021*1.0952</f>
        <v>20831.799199999998</v>
      </c>
      <c r="E38" s="37">
        <f>19021*1.0952</f>
        <v>20831.799199999998</v>
      </c>
      <c r="F38" s="69"/>
      <c r="G38" s="70"/>
      <c r="H38" s="69"/>
      <c r="I38" s="89"/>
      <c r="J38" s="58">
        <f t="shared" si="0"/>
        <v>79707.598399999988</v>
      </c>
      <c r="K38" s="50"/>
    </row>
    <row r="39" spans="2:11" ht="45" x14ac:dyDescent="0.25">
      <c r="B39" s="36" t="s">
        <v>31</v>
      </c>
      <c r="C39" s="103">
        <v>57089</v>
      </c>
      <c r="D39" s="104">
        <v>29826</v>
      </c>
      <c r="E39" s="105">
        <v>29826</v>
      </c>
      <c r="F39" s="106">
        <f>29826*1.0952</f>
        <v>32665.4352</v>
      </c>
      <c r="G39" s="105">
        <f>29826*1.0952</f>
        <v>32665.4352</v>
      </c>
      <c r="H39" s="106"/>
      <c r="I39" s="107"/>
      <c r="J39" s="58">
        <f>SUM(C39:I39)-1</f>
        <v>182070.87040000001</v>
      </c>
    </row>
    <row r="40" spans="2:11" ht="45.75" thickBot="1" x14ac:dyDescent="0.3">
      <c r="B40" s="117" t="s">
        <v>49</v>
      </c>
      <c r="C40" s="118">
        <v>68504</v>
      </c>
      <c r="D40" s="119">
        <f>34251*1.0952</f>
        <v>37511.695200000002</v>
      </c>
      <c r="E40" s="115">
        <f>34251*1.0952</f>
        <v>37511.695200000002</v>
      </c>
      <c r="F40" s="114">
        <f>34251*1.0952</f>
        <v>37511.695200000002</v>
      </c>
      <c r="G40" s="115">
        <f>34251*1.0952</f>
        <v>37511.695200000002</v>
      </c>
      <c r="H40" s="114"/>
      <c r="I40" s="120"/>
      <c r="J40" s="121">
        <f>SUM(C40:I40)+1</f>
        <v>218551.78080000001</v>
      </c>
    </row>
  </sheetData>
  <mergeCells count="13">
    <mergeCell ref="H2:J2"/>
    <mergeCell ref="H3:J3"/>
    <mergeCell ref="H4:J4"/>
    <mergeCell ref="H5:J5"/>
    <mergeCell ref="H6:J6"/>
    <mergeCell ref="J12:J14"/>
    <mergeCell ref="D13:E13"/>
    <mergeCell ref="F13:G13"/>
    <mergeCell ref="H13:I13"/>
    <mergeCell ref="B9:I9"/>
    <mergeCell ref="B12:B14"/>
    <mergeCell ref="D12:I12"/>
    <mergeCell ref="B10:I10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1"/>
  <sheetViews>
    <sheetView tabSelected="1" workbookViewId="0">
      <selection activeCell="Q10" sqref="Q10"/>
    </sheetView>
  </sheetViews>
  <sheetFormatPr defaultRowHeight="15" x14ac:dyDescent="0.25"/>
  <cols>
    <col min="1" max="1" width="5" customWidth="1"/>
    <col min="2" max="2" width="53.42578125" customWidth="1"/>
    <col min="3" max="3" width="12" customWidth="1"/>
    <col min="4" max="4" width="10.7109375" customWidth="1"/>
    <col min="5" max="5" width="10.5703125" customWidth="1"/>
    <col min="6" max="6" width="10.42578125" customWidth="1"/>
    <col min="7" max="7" width="10.140625" customWidth="1"/>
    <col min="8" max="8" width="11.7109375" customWidth="1"/>
    <col min="9" max="9" width="10.85546875" customWidth="1"/>
    <col min="10" max="10" width="17.140625" customWidth="1"/>
    <col min="11" max="11" width="14.28515625" customWidth="1"/>
  </cols>
  <sheetData>
    <row r="2" spans="2:12" ht="19.5" customHeight="1" x14ac:dyDescent="0.25">
      <c r="H2" s="135" t="s">
        <v>1</v>
      </c>
      <c r="I2" s="135"/>
      <c r="J2" s="135"/>
    </row>
    <row r="3" spans="2:12" ht="19.5" customHeight="1" x14ac:dyDescent="0.25">
      <c r="H3" s="135" t="s">
        <v>22</v>
      </c>
      <c r="I3" s="135"/>
      <c r="J3" s="135"/>
    </row>
    <row r="4" spans="2:12" ht="19.5" customHeight="1" x14ac:dyDescent="0.25">
      <c r="H4" s="135" t="s">
        <v>23</v>
      </c>
      <c r="I4" s="135"/>
      <c r="J4" s="135"/>
    </row>
    <row r="5" spans="2:12" ht="19.5" customHeight="1" x14ac:dyDescent="0.25">
      <c r="H5" s="135" t="s">
        <v>20</v>
      </c>
      <c r="I5" s="135"/>
      <c r="J5" s="135"/>
    </row>
    <row r="6" spans="2:12" ht="19.5" customHeight="1" x14ac:dyDescent="0.25">
      <c r="H6" s="136" t="str">
        <f>'Осн образ переход АФ'!H6:J6</f>
        <v>"___" _____________  2025  года</v>
      </c>
      <c r="I6" s="136"/>
      <c r="J6" s="136"/>
    </row>
    <row r="7" spans="2:12" ht="19.5" customHeight="1" x14ac:dyDescent="0.25">
      <c r="H7" s="18"/>
      <c r="I7" s="18"/>
    </row>
    <row r="9" spans="2:12" ht="36.6" customHeight="1" x14ac:dyDescent="0.35">
      <c r="B9" s="125" t="str">
        <f>'Осн образ переход АФ'!B9:I9</f>
        <v>Сведения об изменении стоимости платных образовательных услуг для продолжающих обучение         в ГБПОУ "Кузбасский медицинский колледж" в 2025-2026 году</v>
      </c>
      <c r="C9" s="125"/>
      <c r="D9" s="125"/>
      <c r="E9" s="125"/>
      <c r="F9" s="125"/>
      <c r="G9" s="125"/>
      <c r="H9" s="125"/>
      <c r="I9" s="125"/>
    </row>
    <row r="10" spans="2:12" ht="36.6" customHeight="1" x14ac:dyDescent="0.25">
      <c r="B10" s="126" t="s">
        <v>18</v>
      </c>
      <c r="C10" s="126"/>
      <c r="D10" s="126"/>
      <c r="E10" s="126"/>
      <c r="F10" s="126"/>
      <c r="G10" s="126"/>
      <c r="H10" s="126"/>
      <c r="I10" s="126"/>
    </row>
    <row r="11" spans="2:12" ht="36.6" customHeight="1" thickBot="1" x14ac:dyDescent="0.4">
      <c r="B11" s="3"/>
      <c r="C11" s="3"/>
      <c r="D11" s="3"/>
      <c r="E11" s="3"/>
      <c r="F11" s="3"/>
      <c r="G11" s="3"/>
      <c r="H11" s="3"/>
      <c r="I11" s="3"/>
    </row>
    <row r="12" spans="2:12" ht="27" customHeight="1" thickBot="1" x14ac:dyDescent="0.3">
      <c r="B12" s="129" t="s">
        <v>0</v>
      </c>
      <c r="C12" s="51"/>
      <c r="D12" s="132" t="s">
        <v>21</v>
      </c>
      <c r="E12" s="132"/>
      <c r="F12" s="132"/>
      <c r="G12" s="132"/>
      <c r="H12" s="132"/>
      <c r="I12" s="132"/>
      <c r="J12" s="127" t="s">
        <v>19</v>
      </c>
    </row>
    <row r="13" spans="2:12" ht="19.899999999999999" customHeight="1" thickBot="1" x14ac:dyDescent="0.3">
      <c r="B13" s="130"/>
      <c r="C13" s="52"/>
      <c r="D13" s="137" t="s">
        <v>8</v>
      </c>
      <c r="E13" s="138"/>
      <c r="F13" s="139" t="s">
        <v>9</v>
      </c>
      <c r="G13" s="138"/>
      <c r="H13" s="139" t="s">
        <v>10</v>
      </c>
      <c r="I13" s="137"/>
      <c r="J13" s="128"/>
    </row>
    <row r="14" spans="2:12" ht="25.9" customHeight="1" thickBot="1" x14ac:dyDescent="0.3">
      <c r="B14" s="130"/>
      <c r="C14" s="53" t="s">
        <v>17</v>
      </c>
      <c r="D14" s="12" t="s">
        <v>2</v>
      </c>
      <c r="E14" s="73" t="s">
        <v>3</v>
      </c>
      <c r="F14" s="12" t="s">
        <v>4</v>
      </c>
      <c r="G14" s="14" t="s">
        <v>5</v>
      </c>
      <c r="H14" s="12" t="s">
        <v>6</v>
      </c>
      <c r="I14" s="73" t="s">
        <v>7</v>
      </c>
      <c r="J14" s="155"/>
      <c r="K14" s="11"/>
      <c r="L14" s="11"/>
    </row>
    <row r="15" spans="2:12" ht="45" x14ac:dyDescent="0.25">
      <c r="B15" s="5" t="s">
        <v>25</v>
      </c>
      <c r="C15" s="60">
        <v>36000</v>
      </c>
      <c r="D15" s="20">
        <v>18989</v>
      </c>
      <c r="E15" s="45">
        <v>18989</v>
      </c>
      <c r="F15" s="20">
        <v>19844</v>
      </c>
      <c r="G15" s="45">
        <v>19844</v>
      </c>
      <c r="H15" s="20">
        <f>19844*1.0952</f>
        <v>21733.148799999999</v>
      </c>
      <c r="I15" s="45">
        <f>19844*1.0952</f>
        <v>21733.148799999999</v>
      </c>
      <c r="J15" s="61">
        <f>SUM(C15:I15)</f>
        <v>157132.29759999999</v>
      </c>
      <c r="K15" s="10"/>
      <c r="L15" s="15"/>
    </row>
    <row r="16" spans="2:12" ht="45" x14ac:dyDescent="0.25">
      <c r="B16" s="5" t="s">
        <v>30</v>
      </c>
      <c r="C16" s="63">
        <v>40300</v>
      </c>
      <c r="D16" s="13">
        <v>21055</v>
      </c>
      <c r="E16" s="40">
        <v>21055</v>
      </c>
      <c r="F16" s="13">
        <f>21055*1.0952</f>
        <v>23059.435999999998</v>
      </c>
      <c r="G16" s="40">
        <f>21055*1.0952</f>
        <v>23059.435999999998</v>
      </c>
      <c r="H16" s="13"/>
      <c r="I16" s="40"/>
      <c r="J16" s="61">
        <f>SUM(C16:I16)-1</f>
        <v>128527.872</v>
      </c>
      <c r="K16" s="10"/>
      <c r="L16" s="15"/>
    </row>
    <row r="17" spans="2:12" ht="45" x14ac:dyDescent="0.25">
      <c r="B17" s="5" t="s">
        <v>45</v>
      </c>
      <c r="C17" s="112">
        <v>48356</v>
      </c>
      <c r="D17" s="48">
        <f>24178*1.0952</f>
        <v>26479.745599999998</v>
      </c>
      <c r="E17" s="122">
        <f>24178*1.0952</f>
        <v>26479.745599999998</v>
      </c>
      <c r="F17" s="48">
        <f>24178*1.0952</f>
        <v>26479.745599999998</v>
      </c>
      <c r="G17" s="122">
        <f>24178*1.0952</f>
        <v>26479.745599999998</v>
      </c>
      <c r="H17" s="48"/>
      <c r="I17" s="122"/>
      <c r="J17" s="61">
        <f>SUM(C17:I17)+1</f>
        <v>154275.98239999998</v>
      </c>
      <c r="K17" s="10"/>
      <c r="L17" s="15"/>
    </row>
    <row r="18" spans="2:12" ht="45.75" thickBot="1" x14ac:dyDescent="0.3">
      <c r="B18" s="39" t="s">
        <v>42</v>
      </c>
      <c r="C18" s="72">
        <v>70240</v>
      </c>
      <c r="D18" s="43">
        <f>35120*1.0952</f>
        <v>38463.423999999999</v>
      </c>
      <c r="E18" s="44">
        <f>35120*1.0952</f>
        <v>38463.423999999999</v>
      </c>
      <c r="F18" s="41"/>
      <c r="G18" s="42"/>
      <c r="H18" s="41"/>
      <c r="I18" s="42"/>
      <c r="J18" s="64">
        <f>SUM(C18:I18)-1</f>
        <v>147165.848</v>
      </c>
      <c r="K18" s="10"/>
      <c r="L18" s="15"/>
    </row>
    <row r="19" spans="2:12" x14ac:dyDescent="0.25">
      <c r="B19" s="25"/>
      <c r="C19" s="26"/>
      <c r="D19" s="28"/>
      <c r="E19" s="28"/>
      <c r="F19" s="28"/>
      <c r="G19" s="28"/>
      <c r="H19" s="28"/>
      <c r="I19" s="28"/>
      <c r="J19" s="27"/>
    </row>
    <row r="21" spans="2:12" x14ac:dyDescent="0.25">
      <c r="B21" s="1"/>
    </row>
  </sheetData>
  <mergeCells count="13">
    <mergeCell ref="H2:J2"/>
    <mergeCell ref="H3:J3"/>
    <mergeCell ref="H4:J4"/>
    <mergeCell ref="H5:J5"/>
    <mergeCell ref="H6:J6"/>
    <mergeCell ref="J12:J14"/>
    <mergeCell ref="D13:E13"/>
    <mergeCell ref="F13:G13"/>
    <mergeCell ref="H13:I13"/>
    <mergeCell ref="B9:I9"/>
    <mergeCell ref="B12:B14"/>
    <mergeCell ref="D12:I12"/>
    <mergeCell ref="B10:I10"/>
  </mergeCells>
  <phoneticPr fontId="4" type="noConversion"/>
  <pageMargins left="0" right="0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Осн образ переход АФ</vt:lpstr>
      <vt:lpstr>Осн образ переход БФ</vt:lpstr>
      <vt:lpstr>Осн образ переход ЛКФ</vt:lpstr>
      <vt:lpstr>Осн образ переход ПФ</vt:lpstr>
      <vt:lpstr>Осн образ переход НФ</vt:lpstr>
      <vt:lpstr>Осн образ переход Кемерово </vt:lpstr>
      <vt:lpstr>Осн образ переход область</vt:lpstr>
      <vt:lpstr>'Осн образ переход АФ'!Область_печати</vt:lpstr>
      <vt:lpstr>'Осн образ переход БФ'!Область_печати</vt:lpstr>
      <vt:lpstr>'Осн образ переход Кемерово '!Область_печати</vt:lpstr>
      <vt:lpstr>'Осн образ переход ПФ'!Область_печати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2025-02-28T07:19:31Z</dcterms:modified>
</cp:coreProperties>
</file>